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837" firstSheet="18" activeTab="19"/>
  </bookViews>
  <sheets>
    <sheet name="Menu" sheetId="1" r:id="rId1"/>
    <sheet name="Assumptions" sheetId="2" r:id="rId2"/>
    <sheet name="Chart of Accounts" sheetId="3" r:id="rId3"/>
    <sheet name="Charts" sheetId="4" r:id="rId4"/>
    <sheet name="5 Year Summary " sheetId="5" r:id="rId5"/>
    <sheet name="5 Year Strategic Plan" sheetId="6" r:id="rId6"/>
    <sheet name="1 Year General Op.  Cap. Budget" sheetId="7" r:id="rId7"/>
    <sheet name="Cash Budget" sheetId="8" r:id="rId8"/>
    <sheet name="1Year Detailed Functional Bud." sheetId="9" r:id="rId9"/>
    <sheet name="Capital Budget" sheetId="10" r:id="rId10"/>
    <sheet name="Conservation Program" sheetId="11" r:id="rId11"/>
    <sheet name="Outreach Program" sheetId="12" r:id="rId12"/>
    <sheet name="Development Program" sheetId="13" r:id="rId13"/>
    <sheet name="Administration Program" sheetId="14" r:id="rId14"/>
    <sheet name="Conservation Projects" sheetId="15" r:id="rId15"/>
    <sheet name="Outreach Projects" sheetId="16" r:id="rId16"/>
    <sheet name="Development Projects" sheetId="17" r:id="rId17"/>
    <sheet name="Administration Projects" sheetId="18" r:id="rId18"/>
    <sheet name="Capital Projects" sheetId="19" r:id="rId19"/>
    <sheet name="Membership" sheetId="20" r:id="rId20"/>
    <sheet name="Major Donors" sheetId="21" r:id="rId21"/>
    <sheet name="Grants" sheetId="22" r:id="rId22"/>
    <sheet name="Revenue Projects" sheetId="23" r:id="rId23"/>
    <sheet name="Unrestricted Revenue" sheetId="24" r:id="rId24"/>
    <sheet name="Shared &amp; Allocation" sheetId="25" r:id="rId25"/>
    <sheet name="Staff Expenses" sheetId="26" r:id="rId26"/>
  </sheets>
  <externalReferences>
    <externalReference r:id="rId29"/>
  </externalReferences>
  <definedNames>
    <definedName name="Administration">'Administration Projects'!$B$3:$S$18</definedName>
    <definedName name="Capital">'Capital Projects'!$B$3:$L$18</definedName>
    <definedName name="Conservation">'Conservation Projects'!$B$3:$Q$18</definedName>
    <definedName name="CRITERIA" localSheetId="17">'[1]Foundations'!#REF!</definedName>
    <definedName name="CRITERIA" localSheetId="18">'[1]Foundations'!#REF!</definedName>
    <definedName name="CRITERIA" localSheetId="14">'[1]Foundations'!#REF!</definedName>
    <definedName name="CRITERIA" localSheetId="16">'[1]Foundations'!#REF!</definedName>
    <definedName name="CRITERIA" localSheetId="21">'Grants'!#REF!</definedName>
    <definedName name="CRITERIA" localSheetId="15">'[1]Foundations'!#REF!</definedName>
    <definedName name="DATABASE" localSheetId="17">'[1]Foundations'!#REF!</definedName>
    <definedName name="DATABASE" localSheetId="18">'[1]Foundations'!#REF!</definedName>
    <definedName name="DATABASE" localSheetId="14">'[1]Foundations'!#REF!</definedName>
    <definedName name="DATABASE" localSheetId="16">'[1]Foundations'!#REF!</definedName>
    <definedName name="DATABASE" localSheetId="21">'Grants'!#REF!</definedName>
    <definedName name="DATABASE" localSheetId="15">'[1]Foundations'!#REF!</definedName>
    <definedName name="Development">'Development Projects'!$B$3:$O$18</definedName>
    <definedName name="Grants">'Grants'!$E$10:$K$29</definedName>
    <definedName name="MajorDonors">'Major Donors'!$B$2:$K$25</definedName>
    <definedName name="Membership">'Membership'!$A$49:$F$58</definedName>
    <definedName name="Outreach">'Outreach Projects'!$B$3:$O$18</definedName>
    <definedName name="_xlnm.Print_Area" localSheetId="6">'1 Year General Op.  Cap. Budget'!$A$2:$I$23</definedName>
    <definedName name="_xlnm.Print_Area" localSheetId="8">'1Year Detailed Functional Bud.'!$A$1:$AD$75</definedName>
    <definedName name="_xlnm.Print_Area" localSheetId="5">'5 Year Strategic Plan'!$A$1:$F$23</definedName>
    <definedName name="_xlnm.Print_Area" localSheetId="4">'5 Year Summary '!$A$1:$F$24</definedName>
    <definedName name="_xlnm.Print_Area" localSheetId="13">'Administration Program'!$A$1:$E$64</definedName>
    <definedName name="_xlnm.Print_Area" localSheetId="17">'Administration Projects'!$A$1:$S$20</definedName>
    <definedName name="_xlnm.Print_Area" localSheetId="18">'Capital Projects'!$A$1:$L$20</definedName>
    <definedName name="_xlnm.Print_Area" localSheetId="7">'Cash Budget'!$A$1:$R$36</definedName>
    <definedName name="_xlnm.Print_Area" localSheetId="10">'Conservation Program'!$A$1:$E$64</definedName>
    <definedName name="_xlnm.Print_Area" localSheetId="14">'Conservation Projects'!$A$1:$Q$20</definedName>
    <definedName name="_xlnm.Print_Area" localSheetId="12">'Development Program'!$A$1:$G$64</definedName>
    <definedName name="_xlnm.Print_Area" localSheetId="16">'Development Projects'!$A$1:$O$20</definedName>
    <definedName name="_xlnm.Print_Area" localSheetId="21">'Grants'!$A$1:$L$32</definedName>
    <definedName name="_xlnm.Print_Area" localSheetId="20">'Major Donors'!$A$1:$L$26</definedName>
    <definedName name="_xlnm.Print_Area" localSheetId="11">'Outreach Program'!$A$1:$F$65</definedName>
    <definedName name="_xlnm.Print_Area" localSheetId="15">'Outreach Projects'!$A$1:$O$21</definedName>
    <definedName name="_xlnm.Print_Area" localSheetId="22">'Revenue Projects'!$A$1:$I$14</definedName>
    <definedName name="_xlnm.Print_Area" localSheetId="23">'Unrestricted Revenue'!$A$1:$V$51</definedName>
    <definedName name="_xlnm.Print_Titles" localSheetId="8">'1Year Detailed Functional Bud.'!$B:$C</definedName>
    <definedName name="_xlnm.Print_Titles" localSheetId="7">'Cash Budget'!$A:$A</definedName>
    <definedName name="_xlnm.Print_Titles" localSheetId="12">'Development Program'!$1:$2</definedName>
    <definedName name="_xlnm.Print_Titles" localSheetId="11">'Outreach Program'!$1:$2</definedName>
    <definedName name="Revenue">'Revenue Projects'!$A$2:$M$12</definedName>
    <definedName name="solver_opt" localSheetId="21" hidden="1">'Grants'!#REF!</definedName>
  </definedNames>
  <calcPr fullCalcOnLoad="1"/>
</workbook>
</file>

<file path=xl/comments3.xml><?xml version="1.0" encoding="utf-8"?>
<comments xmlns="http://schemas.openxmlformats.org/spreadsheetml/2006/main">
  <authors>
    <author>Bernie Kerosky</author>
  </authors>
  <commentList>
    <comment ref="C15" authorId="0">
      <text>
        <r>
          <rPr>
            <b/>
            <sz val="8"/>
            <rFont val="Tahoma"/>
            <family val="0"/>
          </rPr>
          <t>Super Deluxe: includes appraisals, title services, surveys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<sst xmlns="http://schemas.openxmlformats.org/spreadsheetml/2006/main" count="795" uniqueCount="236">
  <si>
    <t>Salaries</t>
  </si>
  <si>
    <t>Taxes</t>
  </si>
  <si>
    <t>Benefits</t>
  </si>
  <si>
    <t>Hiring Costs</t>
  </si>
  <si>
    <t>Legal</t>
  </si>
  <si>
    <t>Long Distance</t>
  </si>
  <si>
    <t>Internet Access</t>
  </si>
  <si>
    <t>Rent</t>
  </si>
  <si>
    <t>Repair/Maintenance</t>
  </si>
  <si>
    <t>Utilities</t>
  </si>
  <si>
    <t>Room Rentals</t>
  </si>
  <si>
    <t>Equipment Maintenance/Repair</t>
  </si>
  <si>
    <t>Food</t>
  </si>
  <si>
    <t>Printing</t>
  </si>
  <si>
    <t>Insurance</t>
  </si>
  <si>
    <t>Salaries, Taxes, and Benefits</t>
  </si>
  <si>
    <t>Professional Services</t>
  </si>
  <si>
    <t>Telephone</t>
  </si>
  <si>
    <t>Occupancy</t>
  </si>
  <si>
    <t>Postage</t>
  </si>
  <si>
    <t>Memberships/Contributions</t>
  </si>
  <si>
    <t>New Members</t>
  </si>
  <si>
    <t>Renewals</t>
  </si>
  <si>
    <t>Appeals</t>
  </si>
  <si>
    <t>Major Donors</t>
  </si>
  <si>
    <t>Workplace Giving</t>
  </si>
  <si>
    <t>Grants</t>
  </si>
  <si>
    <t>REVENUES</t>
  </si>
  <si>
    <t>Other Income</t>
  </si>
  <si>
    <t>EXPENSES</t>
  </si>
  <si>
    <t>Monthly Giving</t>
  </si>
  <si>
    <t>Project Expenses</t>
  </si>
  <si>
    <t>General  / Misc.</t>
  </si>
  <si>
    <t>Equipment</t>
  </si>
  <si>
    <t>Equipment Purchase</t>
  </si>
  <si>
    <t>Depreciation</t>
  </si>
  <si>
    <t>Reports</t>
  </si>
  <si>
    <t>Charts</t>
  </si>
  <si>
    <t>Revenue Projections</t>
  </si>
  <si>
    <t>Super Deluxe Budget - Main Menu</t>
  </si>
  <si>
    <t>Project Budgets</t>
  </si>
  <si>
    <t>REVENUE</t>
  </si>
  <si>
    <t>TOTAL REVENUE</t>
  </si>
  <si>
    <t>EXPENSE</t>
  </si>
  <si>
    <t>TOTAL EXPENSES</t>
  </si>
  <si>
    <t>TOTAL REVENUES - EXPENSES</t>
  </si>
  <si>
    <t>TOTAL</t>
  </si>
  <si>
    <t>Cash Surplus or Reserve Requirement</t>
  </si>
  <si>
    <t>Beginning Cash</t>
  </si>
  <si>
    <t>Ending Cash Without Reserve</t>
  </si>
  <si>
    <t>Reserve Required</t>
  </si>
  <si>
    <t>Ending Cash With Reserve</t>
  </si>
  <si>
    <t>Reserve Payback</t>
  </si>
  <si>
    <t>TOTAL ENDING CASH</t>
  </si>
  <si>
    <t>Cumulative Reserve Needed</t>
  </si>
  <si>
    <t xml:space="preserve">Surplus Invested </t>
  </si>
  <si>
    <t>Revenues</t>
  </si>
  <si>
    <t>Total</t>
  </si>
  <si>
    <t>Expenses</t>
  </si>
  <si>
    <t>Conservation</t>
  </si>
  <si>
    <t>Outreach</t>
  </si>
  <si>
    <t>Development</t>
  </si>
  <si>
    <t>Administration</t>
  </si>
  <si>
    <t>% of Total</t>
  </si>
  <si>
    <t>Protection</t>
  </si>
  <si>
    <t>Stewardship</t>
  </si>
  <si>
    <t>Monitoring</t>
  </si>
  <si>
    <t>Landowner</t>
  </si>
  <si>
    <t>Public</t>
  </si>
  <si>
    <t>Networking</t>
  </si>
  <si>
    <t>Advocacy</t>
  </si>
  <si>
    <t>Membership</t>
  </si>
  <si>
    <t>Contributions</t>
  </si>
  <si>
    <t>Gen. Admin.</t>
  </si>
  <si>
    <t>DIFFERENCE REVENUES - EXPENSES</t>
  </si>
  <si>
    <t>RENEWALS</t>
  </si>
  <si>
    <t>Number of Pieces / Mailing</t>
  </si>
  <si>
    <t>Printing per piece</t>
  </si>
  <si>
    <t>Postage per piece</t>
  </si>
  <si>
    <t>Mail House expense per appeal</t>
  </si>
  <si>
    <t>List Rentals</t>
  </si>
  <si>
    <t>Total Renewal Cost</t>
  </si>
  <si>
    <t>Return Percentage</t>
  </si>
  <si>
    <t>Annual Membership Fee</t>
  </si>
  <si>
    <t>Total Renewal Revenue</t>
  </si>
  <si>
    <t># OF RENEWALS PER YEAR</t>
  </si>
  <si>
    <t>APPEALS</t>
  </si>
  <si>
    <t>Total Appeal Cost</t>
  </si>
  <si>
    <t>Average Gift</t>
  </si>
  <si>
    <t>Total Appeal Revenue</t>
  </si>
  <si>
    <t># OF APPEALS PER YEAR</t>
  </si>
  <si>
    <t>NEW MEMBER ACQUISITION</t>
  </si>
  <si>
    <t>Total NM Acq. Cost</t>
  </si>
  <si>
    <t>Total NM Acq. Revenue</t>
  </si>
  <si>
    <t># OF NM ACQ. PER YEAR</t>
  </si>
  <si>
    <t>Projected # of Members</t>
  </si>
  <si>
    <t>% Increase / Decrease</t>
  </si>
  <si>
    <t>Mailing</t>
  </si>
  <si>
    <t>Revenue</t>
  </si>
  <si>
    <t>Name</t>
  </si>
  <si>
    <t>In Hand</t>
  </si>
  <si>
    <t>Balance</t>
  </si>
  <si>
    <t>Staff Expenses</t>
  </si>
  <si>
    <t>Year</t>
  </si>
  <si>
    <t>% Increase</t>
  </si>
  <si>
    <t>Health - No Insurance</t>
  </si>
  <si>
    <t>N</t>
  </si>
  <si>
    <t>Health - Insurance</t>
  </si>
  <si>
    <t>I</t>
  </si>
  <si>
    <t>Retirement</t>
  </si>
  <si>
    <t>FICA</t>
  </si>
  <si>
    <t>State</t>
  </si>
  <si>
    <t>Medicare</t>
  </si>
  <si>
    <t>Workers Comp.</t>
  </si>
  <si>
    <t xml:space="preserve"> Base Salary</t>
  </si>
  <si>
    <t>FTE</t>
  </si>
  <si>
    <t>No Ins./ Ins.</t>
  </si>
  <si>
    <t>Salary</t>
  </si>
  <si>
    <t>Health</t>
  </si>
  <si>
    <t>Executive Director</t>
  </si>
  <si>
    <t>Conservation Director</t>
  </si>
  <si>
    <t>Program Director</t>
  </si>
  <si>
    <t>Conservation Biologist</t>
  </si>
  <si>
    <t>Development Director</t>
  </si>
  <si>
    <t>Administrative Assistant</t>
  </si>
  <si>
    <t>Time Allocation</t>
  </si>
  <si>
    <t>Payroll Tax Allocation</t>
  </si>
  <si>
    <t>Allocation %'s</t>
  </si>
  <si>
    <t>Avg. Mon. Exp.</t>
  </si>
  <si>
    <t>Yearly Exp.</t>
  </si>
  <si>
    <t>Shared Expenses</t>
  </si>
  <si>
    <t>Shared  &amp; Allocation</t>
  </si>
  <si>
    <t>Total Shared Expenses</t>
  </si>
  <si>
    <t>Total Shared Allocation</t>
  </si>
  <si>
    <t>Foundation Grants</t>
  </si>
  <si>
    <t>Definitions:</t>
  </si>
  <si>
    <t>Requested" due to less money given by funder or a portion of money restricted to off-budget expenses.</t>
  </si>
  <si>
    <t>relationship with the funder and their interest in our proposal).</t>
  </si>
  <si>
    <t xml:space="preserve"> Grant</t>
  </si>
  <si>
    <t>Percent</t>
  </si>
  <si>
    <t>Budgeted</t>
  </si>
  <si>
    <t>Requested</t>
  </si>
  <si>
    <t>Expected</t>
  </si>
  <si>
    <t>Probability</t>
  </si>
  <si>
    <t>Travel</t>
  </si>
  <si>
    <t>Support</t>
  </si>
  <si>
    <t>Staff Dev.</t>
  </si>
  <si>
    <t>Salaries Allocation</t>
  </si>
  <si>
    <t>Benefits Allocation</t>
  </si>
  <si>
    <t>Monthly Allocation</t>
  </si>
  <si>
    <r>
      <t>Grant Requested</t>
    </r>
    <r>
      <rPr>
        <sz val="10"/>
        <rFont val="Verdana"/>
        <family val="2"/>
      </rPr>
      <t>: amount we are asking from the funder.</t>
    </r>
  </si>
  <si>
    <r>
      <t>Grant Expected</t>
    </r>
    <r>
      <rPr>
        <sz val="10"/>
        <rFont val="Verdana"/>
        <family val="2"/>
      </rPr>
      <t xml:space="preserve">: amount we expect for general or program support. Lesser amounts from "Grant </t>
    </r>
  </si>
  <si>
    <r>
      <t>Percent Probability</t>
    </r>
    <r>
      <rPr>
        <sz val="10"/>
        <rFont val="Verdana"/>
        <family val="2"/>
      </rPr>
      <t xml:space="preserve">: our confidence level in being funding (based on previous funding, current </t>
    </r>
  </si>
  <si>
    <t>Strategy</t>
  </si>
  <si>
    <t>Data Proc.</t>
  </si>
  <si>
    <t>Fees</t>
  </si>
  <si>
    <t>Mgmt.</t>
  </si>
  <si>
    <t xml:space="preserve">TOTAL </t>
  </si>
  <si>
    <t>Allocated Expenses</t>
  </si>
  <si>
    <t>Gift</t>
  </si>
  <si>
    <t>TOTAL REVENUES</t>
  </si>
  <si>
    <t>REVENUES - EXPENSES</t>
  </si>
  <si>
    <t>Account.</t>
  </si>
  <si>
    <t>Waterfall</t>
  </si>
  <si>
    <t>Bluff</t>
  </si>
  <si>
    <t>Lookout</t>
  </si>
  <si>
    <t>Misc. Dev.</t>
  </si>
  <si>
    <t>Interest Rate</t>
  </si>
  <si>
    <t>Community Foundation</t>
  </si>
  <si>
    <t>Balance 01/01</t>
  </si>
  <si>
    <t>% Alloc.</t>
  </si>
  <si>
    <t>General Fund</t>
  </si>
  <si>
    <t>Operating Endowment Fund</t>
  </si>
  <si>
    <t>month</t>
  </si>
  <si>
    <t>Other Unrestricted Revenue</t>
  </si>
  <si>
    <t>Total Unrestricted Revenue</t>
  </si>
  <si>
    <t>Timing</t>
  </si>
  <si>
    <t>Hire new Development Staff</t>
  </si>
  <si>
    <t>monthly</t>
  </si>
  <si>
    <t>stewardship</t>
  </si>
  <si>
    <t>monitoring</t>
  </si>
  <si>
    <t>waterfall</t>
  </si>
  <si>
    <t>bluff</t>
  </si>
  <si>
    <t>lookout</t>
  </si>
  <si>
    <t>Checking</t>
  </si>
  <si>
    <t>Money Market</t>
  </si>
  <si>
    <t>Unrestricted</t>
  </si>
  <si>
    <t>Monthly</t>
  </si>
  <si>
    <t>Is not monthly</t>
  </si>
  <si>
    <t>Expenses by Program</t>
  </si>
  <si>
    <t>Revenue History</t>
  </si>
  <si>
    <t>Expense History</t>
  </si>
  <si>
    <t>Revenue Projects</t>
  </si>
  <si>
    <t>Auction</t>
  </si>
  <si>
    <t>Earth Share</t>
  </si>
  <si>
    <t>Picnic</t>
  </si>
  <si>
    <t>Goal Budgets</t>
  </si>
  <si>
    <t>Temps.</t>
  </si>
  <si>
    <t>Acq. Services</t>
  </si>
  <si>
    <t>Other PS</t>
  </si>
  <si>
    <t xml:space="preserve">Supplies </t>
  </si>
  <si>
    <t>Misc. Exp.</t>
  </si>
  <si>
    <t xml:space="preserve">Media </t>
  </si>
  <si>
    <t>Conf./Training</t>
  </si>
  <si>
    <t>Property Acq.</t>
  </si>
  <si>
    <t>Event Income</t>
  </si>
  <si>
    <t>Merchandise Sales</t>
  </si>
  <si>
    <t>Rental Income</t>
  </si>
  <si>
    <t>Interest</t>
  </si>
  <si>
    <t>Goals</t>
  </si>
  <si>
    <t>Capital</t>
  </si>
  <si>
    <t>Strategies</t>
  </si>
  <si>
    <t>Bd. Dev./ Mgt.</t>
  </si>
  <si>
    <t>GENERAL OPERATIONS</t>
  </si>
  <si>
    <t>CAPITAL PROJECTS</t>
  </si>
  <si>
    <t>Pew Charitable Trust</t>
  </si>
  <si>
    <t>Wilburforce Foundation</t>
  </si>
  <si>
    <t>Meyer Memorial Trust</t>
  </si>
  <si>
    <t>State Grant</t>
  </si>
  <si>
    <t>Federal Grant</t>
  </si>
  <si>
    <t>landowner</t>
  </si>
  <si>
    <t>surveying</t>
  </si>
  <si>
    <t>purchase of property</t>
  </si>
  <si>
    <t>board meeting</t>
  </si>
  <si>
    <t>gen. Admin.</t>
  </si>
  <si>
    <t>audit</t>
  </si>
  <si>
    <t>donor event</t>
  </si>
  <si>
    <t>major donors</t>
  </si>
  <si>
    <t>donor letter</t>
  </si>
  <si>
    <t>new member acq. Training</t>
  </si>
  <si>
    <t>membership</t>
  </si>
  <si>
    <t>maintenance of property</t>
  </si>
  <si>
    <t>public</t>
  </si>
  <si>
    <t>networking</t>
  </si>
  <si>
    <t>advocacy</t>
  </si>
  <si>
    <t xml:space="preserve">Initial assessment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</si>
</sst>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00"/>
    <numFmt numFmtId="177" formatCode="mmmm\ d\,\ yyyy"/>
    <numFmt numFmtId="178" formatCode="mmmm\-yy"/>
    <numFmt numFmtId="179" formatCode="0.0%"/>
    <numFmt numFmtId="180" formatCode="0_);[Red]\(0\)"/>
    <numFmt numFmtId="181" formatCode="&quot;$&quot;#,##0.00"/>
    <numFmt numFmtId="182" formatCode="mm/dd/yy"/>
    <numFmt numFmtId="183" formatCode="_(* #,##0.0_);_(* \(#,##0.0\);_(* &quot;-&quot;?_);_(@_)"/>
    <numFmt numFmtId="184" formatCode="0.00_);\(0.00\)"/>
    <numFmt numFmtId="185" formatCode="0.000_);\(0.000\)"/>
    <numFmt numFmtId="186" formatCode="0.0000_);\(0.0000\)"/>
    <numFmt numFmtId="187" formatCode="0.0_);\(0.0\)"/>
    <numFmt numFmtId="188" formatCode="0_);\(0\)"/>
    <numFmt numFmtId="189" formatCode="&quot;$&quot;#,##0.0_);[Red]\(&quot;$&quot;#,##0.0\)"/>
    <numFmt numFmtId="190" formatCode="&quot;$&quot;#,##0.0_);\(&quot;$&quot;#,##0.0\)"/>
    <numFmt numFmtId="191" formatCode="#,##0.0_);[Red]\(#,##0.0\)"/>
    <numFmt numFmtId="192" formatCode="#,##0.0_);\(#,##0.0\)"/>
    <numFmt numFmtId="193" formatCode="0.000000"/>
    <numFmt numFmtId="194" formatCode="yyyy"/>
  </numFmts>
  <fonts count="2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name val="Geneva"/>
      <family val="0"/>
    </font>
    <font>
      <b/>
      <sz val="14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b/>
      <i/>
      <sz val="10"/>
      <name val="Verdana"/>
      <family val="2"/>
    </font>
    <font>
      <sz val="9.5"/>
      <name val="Verdana"/>
      <family val="2"/>
    </font>
    <font>
      <sz val="7"/>
      <name val="Verdana"/>
      <family val="2"/>
    </font>
    <font>
      <sz val="18.75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9.25"/>
      <name val="Verdana"/>
      <family val="2"/>
    </font>
    <font>
      <sz val="6"/>
      <name val="Verdana"/>
      <family val="2"/>
    </font>
    <font>
      <u val="singleAccounting"/>
      <sz val="10"/>
      <name val="Verdana"/>
      <family val="2"/>
    </font>
    <font>
      <u val="doubleAccounting"/>
      <sz val="10"/>
      <name val="Verdana"/>
      <family val="2"/>
    </font>
    <font>
      <b/>
      <u val="singleAccounting"/>
      <sz val="10"/>
      <name val="Verdana"/>
      <family val="2"/>
    </font>
    <font>
      <b/>
      <u val="single"/>
      <sz val="10"/>
      <name val="Verdana"/>
      <family val="2"/>
    </font>
    <font>
      <u val="singleAccounting"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6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2" xfId="0" applyNumberFormat="1" applyFont="1" applyBorder="1" applyAlignment="1" quotePrefix="1">
      <alignment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6" fontId="1" fillId="2" borderId="0" xfId="0" applyNumberFormat="1" applyFont="1" applyFill="1" applyAlignment="1" applyProtection="1">
      <alignment/>
      <protection locked="0"/>
    </xf>
    <xf numFmtId="38" fontId="1" fillId="2" borderId="0" xfId="0" applyNumberFormat="1" applyFont="1" applyFill="1" applyAlignment="1" applyProtection="1">
      <alignment/>
      <protection locked="0"/>
    </xf>
    <xf numFmtId="3" fontId="1" fillId="3" borderId="3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74" fontId="1" fillId="0" borderId="3" xfId="15" applyNumberFormat="1" applyFont="1" applyBorder="1" applyAlignment="1">
      <alignment/>
    </xf>
    <xf numFmtId="174" fontId="1" fillId="4" borderId="0" xfId="15" applyNumberFormat="1" applyFont="1" applyFill="1" applyBorder="1" applyAlignment="1">
      <alignment/>
    </xf>
    <xf numFmtId="0" fontId="1" fillId="4" borderId="0" xfId="0" applyFont="1" applyFill="1" applyAlignment="1">
      <alignment/>
    </xf>
    <xf numFmtId="3" fontId="1" fillId="5" borderId="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2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1" fillId="0" borderId="4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1" fillId="0" borderId="0" xfId="2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38" fontId="1" fillId="0" borderId="0" xfId="0" applyNumberFormat="1" applyFont="1" applyFill="1" applyAlignment="1" applyProtection="1">
      <alignment/>
      <protection/>
    </xf>
    <xf numFmtId="8" fontId="1" fillId="2" borderId="0" xfId="0" applyNumberFormat="1" applyFont="1" applyFill="1" applyAlignment="1" applyProtection="1">
      <alignment/>
      <protection locked="0"/>
    </xf>
    <xf numFmtId="8" fontId="1" fillId="2" borderId="1" xfId="0" applyNumberFormat="1" applyFont="1" applyFill="1" applyBorder="1" applyAlignment="1" applyProtection="1">
      <alignment/>
      <protection locked="0"/>
    </xf>
    <xf numFmtId="8" fontId="2" fillId="0" borderId="0" xfId="0" applyNumberFormat="1" applyFont="1" applyAlignment="1">
      <alignment/>
    </xf>
    <xf numFmtId="9" fontId="1" fillId="2" borderId="0" xfId="20" applyFont="1" applyFill="1" applyAlignment="1" applyProtection="1">
      <alignment/>
      <protection locked="0"/>
    </xf>
    <xf numFmtId="8" fontId="1" fillId="2" borderId="1" xfId="17" applyNumberFormat="1" applyFont="1" applyFill="1" applyBorder="1" applyAlignment="1" applyProtection="1">
      <alignment/>
      <protection locked="0"/>
    </xf>
    <xf numFmtId="8" fontId="2" fillId="0" borderId="0" xfId="17" applyNumberFormat="1" applyFont="1" applyAlignment="1">
      <alignment/>
    </xf>
    <xf numFmtId="8" fontId="1" fillId="0" borderId="0" xfId="0" applyNumberFormat="1" applyFont="1" applyAlignment="1">
      <alignment/>
    </xf>
    <xf numFmtId="10" fontId="1" fillId="2" borderId="0" xfId="2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8" fontId="2" fillId="0" borderId="0" xfId="0" applyNumberFormat="1" applyFont="1" applyAlignment="1">
      <alignment/>
    </xf>
    <xf numFmtId="10" fontId="2" fillId="0" borderId="0" xfId="20" applyNumberFormat="1" applyFont="1" applyAlignment="1">
      <alignment/>
    </xf>
    <xf numFmtId="40" fontId="1" fillId="0" borderId="0" xfId="0" applyNumberFormat="1" applyFon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17" fontId="2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38" fontId="1" fillId="2" borderId="1" xfId="0" applyNumberFormat="1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0" fontId="1" fillId="2" borderId="0" xfId="2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9" fontId="1" fillId="0" borderId="0" xfId="20" applyFont="1" applyFill="1" applyBorder="1" applyAlignment="1" applyProtection="1">
      <alignment/>
      <protection locked="0"/>
    </xf>
    <xf numFmtId="10" fontId="1" fillId="0" borderId="0" xfId="2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44" fontId="1" fillId="0" borderId="0" xfId="17" applyFont="1" applyAlignment="1">
      <alignment/>
    </xf>
    <xf numFmtId="0" fontId="9" fillId="0" borderId="0" xfId="0" applyFont="1" applyAlignment="1">
      <alignment horizontal="center"/>
    </xf>
    <xf numFmtId="9" fontId="1" fillId="0" borderId="0" xfId="20" applyFont="1" applyAlignment="1">
      <alignment/>
    </xf>
    <xf numFmtId="3" fontId="1" fillId="0" borderId="10" xfId="0" applyNumberFormat="1" applyFont="1" applyBorder="1" applyAlignment="1">
      <alignment horizontal="center"/>
    </xf>
    <xf numFmtId="167" fontId="1" fillId="0" borderId="0" xfId="19" applyNumberFormat="1" applyFont="1" applyFill="1" applyBorder="1">
      <alignment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1" fillId="2" borderId="11" xfId="20" applyFont="1" applyFill="1" applyBorder="1" applyAlignment="1" applyProtection="1">
      <alignment/>
      <protection locked="0"/>
    </xf>
    <xf numFmtId="9" fontId="1" fillId="2" borderId="0" xfId="20" applyFont="1" applyFill="1" applyBorder="1" applyAlignment="1" applyProtection="1">
      <alignment/>
      <protection locked="0"/>
    </xf>
    <xf numFmtId="9" fontId="1" fillId="2" borderId="12" xfId="20" applyFont="1" applyFill="1" applyBorder="1" applyAlignment="1" applyProtection="1">
      <alignment/>
      <protection locked="0"/>
    </xf>
    <xf numFmtId="9" fontId="1" fillId="2" borderId="13" xfId="20" applyFont="1" applyFill="1" applyBorder="1" applyAlignment="1" applyProtection="1">
      <alignment/>
      <protection locked="0"/>
    </xf>
    <xf numFmtId="9" fontId="1" fillId="2" borderId="2" xfId="20" applyFont="1" applyFill="1" applyBorder="1" applyAlignment="1" applyProtection="1">
      <alignment/>
      <protection locked="0"/>
    </xf>
    <xf numFmtId="9" fontId="1" fillId="2" borderId="14" xfId="20" applyFont="1" applyFill="1" applyBorder="1" applyAlignment="1" applyProtection="1">
      <alignment/>
      <protection locked="0"/>
    </xf>
    <xf numFmtId="9" fontId="1" fillId="2" borderId="15" xfId="20" applyFont="1" applyFill="1" applyBorder="1" applyAlignment="1" applyProtection="1">
      <alignment/>
      <protection locked="0"/>
    </xf>
    <xf numFmtId="9" fontId="1" fillId="2" borderId="16" xfId="20" applyFont="1" applyFill="1" applyBorder="1" applyAlignment="1" applyProtection="1">
      <alignment/>
      <protection locked="0"/>
    </xf>
    <xf numFmtId="9" fontId="1" fillId="2" borderId="10" xfId="20" applyFont="1" applyFill="1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38" fontId="1" fillId="2" borderId="0" xfId="17" applyNumberFormat="1" applyFont="1" applyFill="1" applyBorder="1" applyAlignment="1" applyProtection="1">
      <alignment/>
      <protection locked="0"/>
    </xf>
    <xf numFmtId="38" fontId="1" fillId="2" borderId="1" xfId="17" applyNumberFormat="1" applyFont="1" applyFill="1" applyBorder="1" applyAlignment="1" applyProtection="1">
      <alignment/>
      <protection locked="0"/>
    </xf>
    <xf numFmtId="38" fontId="1" fillId="0" borderId="0" xfId="17" applyNumberFormat="1" applyFont="1" applyAlignment="1">
      <alignment/>
    </xf>
    <xf numFmtId="38" fontId="1" fillId="0" borderId="0" xfId="17" applyNumberFormat="1" applyFont="1" applyFill="1" applyAlignment="1">
      <alignment/>
    </xf>
    <xf numFmtId="38" fontId="1" fillId="0" borderId="1" xfId="17" applyNumberFormat="1" applyFont="1" applyFill="1" applyBorder="1" applyAlignment="1">
      <alignment/>
    </xf>
    <xf numFmtId="38" fontId="1" fillId="0" borderId="1" xfId="17" applyNumberFormat="1" applyFont="1" applyBorder="1" applyAlignment="1">
      <alignment/>
    </xf>
    <xf numFmtId="6" fontId="1" fillId="2" borderId="0" xfId="17" applyNumberFormat="1" applyFont="1" applyFill="1" applyAlignment="1" applyProtection="1">
      <alignment/>
      <protection locked="0"/>
    </xf>
    <xf numFmtId="6" fontId="1" fillId="0" borderId="0" xfId="17" applyNumberFormat="1" applyFont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0" xfId="19" applyFont="1" applyFill="1" applyBorder="1">
      <alignment/>
      <protection/>
    </xf>
    <xf numFmtId="38" fontId="1" fillId="0" borderId="18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 shrinkToFit="1"/>
    </xf>
    <xf numFmtId="38" fontId="1" fillId="0" borderId="16" xfId="0" applyNumberFormat="1" applyFont="1" applyBorder="1" applyAlignment="1">
      <alignment horizontal="right" shrinkToFit="1"/>
    </xf>
    <xf numFmtId="38" fontId="1" fillId="0" borderId="10" xfId="0" applyNumberFormat="1" applyFont="1" applyBorder="1" applyAlignment="1">
      <alignment horizontal="right" shrinkToFit="1"/>
    </xf>
    <xf numFmtId="38" fontId="1" fillId="0" borderId="11" xfId="0" applyNumberFormat="1" applyFont="1" applyBorder="1" applyAlignment="1">
      <alignment horizontal="right" shrinkToFit="1"/>
    </xf>
    <xf numFmtId="38" fontId="1" fillId="0" borderId="0" xfId="0" applyNumberFormat="1" applyFont="1" applyBorder="1" applyAlignment="1">
      <alignment horizontal="right" shrinkToFit="1"/>
    </xf>
    <xf numFmtId="38" fontId="1" fillId="0" borderId="12" xfId="0" applyNumberFormat="1" applyFont="1" applyBorder="1" applyAlignment="1">
      <alignment horizontal="right" shrinkToFit="1"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2" xfId="0" applyNumberFormat="1" applyFont="1" applyBorder="1" applyAlignment="1">
      <alignment horizontal="right"/>
    </xf>
    <xf numFmtId="6" fontId="5" fillId="0" borderId="0" xfId="0" applyNumberFormat="1" applyFont="1" applyAlignment="1">
      <alignment shrinkToFit="1"/>
    </xf>
    <xf numFmtId="0" fontId="4" fillId="0" borderId="0" xfId="19" applyFont="1">
      <alignment/>
      <protection/>
    </xf>
    <xf numFmtId="3" fontId="1" fillId="0" borderId="0" xfId="19" applyNumberFormat="1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167" fontId="1" fillId="0" borderId="0" xfId="19" applyNumberFormat="1" applyFont="1">
      <alignment/>
      <protection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5" fillId="0" borderId="0" xfId="19" applyFont="1">
      <alignment/>
      <protection/>
    </xf>
    <xf numFmtId="3" fontId="6" fillId="0" borderId="0" xfId="19" applyNumberFormat="1" applyFont="1" applyAlignment="1">
      <alignment horizontal="center"/>
      <protection/>
    </xf>
    <xf numFmtId="9" fontId="6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/>
      <protection/>
    </xf>
    <xf numFmtId="167" fontId="1" fillId="0" borderId="0" xfId="19" applyNumberFormat="1" applyFont="1" applyAlignment="1">
      <alignment horizontal="center"/>
      <protection/>
    </xf>
    <xf numFmtId="167" fontId="2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3" fontId="1" fillId="0" borderId="0" xfId="19" applyNumberFormat="1" applyFont="1">
      <alignment/>
      <protection/>
    </xf>
    <xf numFmtId="2" fontId="1" fillId="0" borderId="0" xfId="19" applyNumberFormat="1" applyFont="1">
      <alignment/>
      <protection/>
    </xf>
    <xf numFmtId="38" fontId="2" fillId="0" borderId="0" xfId="0" applyNumberFormat="1" applyFont="1" applyFill="1" applyAlignment="1" applyProtection="1">
      <alignment/>
      <protection/>
    </xf>
    <xf numFmtId="38" fontId="1" fillId="2" borderId="7" xfId="0" applyNumberFormat="1" applyFont="1" applyFill="1" applyBorder="1" applyAlignment="1" applyProtection="1">
      <alignment/>
      <protection locked="0"/>
    </xf>
    <xf numFmtId="38" fontId="1" fillId="2" borderId="5" xfId="0" applyNumberFormat="1" applyFont="1" applyFill="1" applyBorder="1" applyAlignment="1" applyProtection="1">
      <alignment/>
      <protection locked="0"/>
    </xf>
    <xf numFmtId="38" fontId="1" fillId="2" borderId="9" xfId="0" applyNumberFormat="1" applyFont="1" applyFill="1" applyBorder="1" applyAlignment="1" applyProtection="1">
      <alignment/>
      <protection locked="0"/>
    </xf>
    <xf numFmtId="17" fontId="1" fillId="2" borderId="7" xfId="19" applyNumberFormat="1" applyFont="1" applyFill="1" applyBorder="1" applyAlignment="1" applyProtection="1" quotePrefix="1">
      <alignment horizontal="center"/>
      <protection locked="0"/>
    </xf>
    <xf numFmtId="17" fontId="1" fillId="2" borderId="5" xfId="19" applyNumberFormat="1" applyFont="1" applyFill="1" applyBorder="1" applyAlignment="1" applyProtection="1" quotePrefix="1">
      <alignment horizontal="center"/>
      <protection locked="0"/>
    </xf>
    <xf numFmtId="3" fontId="1" fillId="2" borderId="7" xfId="19" applyNumberFormat="1" applyFont="1" applyFill="1" applyBorder="1" applyAlignment="1" applyProtection="1">
      <alignment horizontal="right"/>
      <protection locked="0"/>
    </xf>
    <xf numFmtId="3" fontId="1" fillId="2" borderId="5" xfId="19" applyNumberFormat="1" applyFont="1" applyFill="1" applyBorder="1" applyProtection="1">
      <alignment/>
      <protection locked="0"/>
    </xf>
    <xf numFmtId="9" fontId="1" fillId="2" borderId="7" xfId="19" applyNumberFormat="1" applyFont="1" applyFill="1" applyBorder="1" applyAlignment="1" applyProtection="1">
      <alignment horizontal="right"/>
      <protection locked="0"/>
    </xf>
    <xf numFmtId="9" fontId="1" fillId="2" borderId="5" xfId="19" applyNumberFormat="1" applyFont="1" applyFill="1" applyBorder="1" applyProtection="1">
      <alignment/>
      <protection locked="0"/>
    </xf>
    <xf numFmtId="38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>
      <alignment/>
    </xf>
    <xf numFmtId="0" fontId="2" fillId="0" borderId="0" xfId="19" applyFont="1" applyFill="1" applyBorder="1">
      <alignment/>
      <protection/>
    </xf>
    <xf numFmtId="3" fontId="6" fillId="0" borderId="0" xfId="19" applyNumberFormat="1" applyFont="1" applyFill="1" applyBorder="1" applyAlignment="1">
      <alignment horizontal="center"/>
      <protection/>
    </xf>
    <xf numFmtId="9" fontId="6" fillId="0" borderId="0" xfId="19" applyNumberFormat="1" applyFont="1" applyFill="1" applyBorder="1" applyAlignment="1">
      <alignment horizontal="center"/>
      <protection/>
    </xf>
    <xf numFmtId="14" fontId="6" fillId="0" borderId="0" xfId="19" applyNumberFormat="1" applyFont="1" applyFill="1" applyBorder="1" applyAlignment="1">
      <alignment horizontal="center"/>
      <protection/>
    </xf>
    <xf numFmtId="0" fontId="1" fillId="0" borderId="0" xfId="19" applyFont="1" applyFill="1" applyBorder="1" applyProtection="1">
      <alignment/>
      <protection locked="0"/>
    </xf>
    <xf numFmtId="3" fontId="1" fillId="0" borderId="0" xfId="19" applyNumberFormat="1" applyFont="1" applyFill="1" applyBorder="1" applyProtection="1">
      <alignment/>
      <protection locked="0"/>
    </xf>
    <xf numFmtId="9" fontId="1" fillId="0" borderId="0" xfId="19" applyNumberFormat="1" applyFont="1" applyFill="1" applyBorder="1" applyProtection="1">
      <alignment/>
      <protection locked="0"/>
    </xf>
    <xf numFmtId="3" fontId="1" fillId="0" borderId="0" xfId="19" applyNumberFormat="1" applyFont="1" applyFill="1" applyBorder="1">
      <alignment/>
      <protection/>
    </xf>
    <xf numFmtId="17" fontId="1" fillId="0" borderId="0" xfId="19" applyNumberFormat="1" applyFont="1" applyFill="1" applyBorder="1" applyAlignment="1" applyProtection="1" quotePrefix="1">
      <alignment horizontal="center"/>
      <protection locked="0"/>
    </xf>
    <xf numFmtId="6" fontId="5" fillId="0" borderId="0" xfId="19" applyNumberFormat="1" applyFont="1" applyFill="1" applyBorder="1">
      <alignment/>
      <protection/>
    </xf>
    <xf numFmtId="1" fontId="1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9" fontId="1" fillId="0" borderId="0" xfId="20" applyFont="1" applyFill="1" applyAlignment="1" applyProtection="1">
      <alignment/>
      <protection/>
    </xf>
    <xf numFmtId="0" fontId="8" fillId="0" borderId="0" xfId="0" applyFont="1" applyAlignment="1">
      <alignment/>
    </xf>
    <xf numFmtId="38" fontId="1" fillId="0" borderId="2" xfId="0" applyNumberFormat="1" applyFont="1" applyBorder="1" applyAlignment="1">
      <alignment/>
    </xf>
    <xf numFmtId="38" fontId="1" fillId="0" borderId="13" xfId="0" applyNumberFormat="1" applyFont="1" applyBorder="1" applyAlignment="1">
      <alignment horizontal="right" shrinkToFit="1"/>
    </xf>
    <xf numFmtId="38" fontId="1" fillId="0" borderId="2" xfId="0" applyNumberFormat="1" applyFont="1" applyBorder="1" applyAlignment="1">
      <alignment horizontal="right" shrinkToFit="1"/>
    </xf>
    <xf numFmtId="38" fontId="1" fillId="0" borderId="14" xfId="0" applyNumberFormat="1" applyFont="1" applyBorder="1" applyAlignment="1">
      <alignment horizontal="right" shrinkToFit="1"/>
    </xf>
    <xf numFmtId="38" fontId="1" fillId="0" borderId="13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17" fontId="1" fillId="2" borderId="7" xfId="19" applyNumberFormat="1" applyFont="1" applyFill="1" applyBorder="1" applyAlignment="1" applyProtection="1">
      <alignment horizontal="center"/>
      <protection locked="0"/>
    </xf>
    <xf numFmtId="6" fontId="1" fillId="0" borderId="0" xfId="0" applyNumberFormat="1" applyFont="1" applyBorder="1" applyAlignment="1">
      <alignment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/>
      <protection locked="0"/>
    </xf>
    <xf numFmtId="38" fontId="1" fillId="2" borderId="15" xfId="0" applyNumberFormat="1" applyFont="1" applyFill="1" applyBorder="1" applyAlignment="1" applyProtection="1">
      <alignment/>
      <protection locked="0"/>
    </xf>
    <xf numFmtId="38" fontId="1" fillId="2" borderId="10" xfId="0" applyNumberFormat="1" applyFont="1" applyFill="1" applyBorder="1" applyAlignment="1" applyProtection="1">
      <alignment/>
      <protection locked="0"/>
    </xf>
    <xf numFmtId="38" fontId="1" fillId="2" borderId="11" xfId="0" applyNumberFormat="1" applyFont="1" applyFill="1" applyBorder="1" applyAlignment="1" applyProtection="1">
      <alignment/>
      <protection locked="0"/>
    </xf>
    <xf numFmtId="38" fontId="1" fillId="2" borderId="12" xfId="0" applyNumberFormat="1" applyFont="1" applyFill="1" applyBorder="1" applyAlignment="1" applyProtection="1">
      <alignment/>
      <protection locked="0"/>
    </xf>
    <xf numFmtId="14" fontId="1" fillId="2" borderId="7" xfId="0" applyNumberFormat="1" applyFont="1" applyFill="1" applyBorder="1" applyAlignment="1" applyProtection="1">
      <alignment/>
      <protection locked="0"/>
    </xf>
    <xf numFmtId="17" fontId="1" fillId="0" borderId="0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17" fontId="1" fillId="2" borderId="5" xfId="19" applyNumberFormat="1" applyFont="1" applyFill="1" applyBorder="1" applyAlignment="1" applyProtection="1">
      <alignment horizontal="center"/>
      <protection locked="0"/>
    </xf>
    <xf numFmtId="14" fontId="6" fillId="0" borderId="2" xfId="19" applyNumberFormat="1" applyFont="1" applyBorder="1" applyAlignment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9" fontId="1" fillId="0" borderId="0" xfId="0" applyNumberFormat="1" applyFont="1" applyAlignment="1">
      <alignment/>
    </xf>
    <xf numFmtId="0" fontId="1" fillId="2" borderId="19" xfId="0" applyFont="1" applyFill="1" applyBorder="1" applyAlignment="1" applyProtection="1">
      <alignment/>
      <protection locked="0"/>
    </xf>
    <xf numFmtId="38" fontId="1" fillId="2" borderId="19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17" fontId="2" fillId="0" borderId="0" xfId="0" applyNumberFormat="1" applyFont="1" applyFill="1" applyAlignment="1" applyProtection="1" quotePrefix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7" fontId="1" fillId="2" borderId="7" xfId="0" applyNumberFormat="1" applyFont="1" applyFill="1" applyBorder="1" applyAlignment="1" applyProtection="1">
      <alignment/>
      <protection locked="0"/>
    </xf>
    <xf numFmtId="1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" fontId="1" fillId="0" borderId="2" xfId="0" applyNumberFormat="1" applyFont="1" applyBorder="1" applyAlignment="1" quotePrefix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7" xfId="19" applyFont="1" applyFill="1" applyBorder="1" applyProtection="1">
      <alignment/>
      <protection locked="0"/>
    </xf>
    <xf numFmtId="0" fontId="1" fillId="2" borderId="5" xfId="19" applyFont="1" applyFill="1" applyBorder="1" applyProtection="1">
      <alignment/>
      <protection locked="0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6" fontId="20" fillId="0" borderId="0" xfId="0" applyNumberFormat="1" applyFont="1" applyBorder="1" applyAlignment="1">
      <alignment/>
    </xf>
    <xf numFmtId="6" fontId="21" fillId="0" borderId="0" xfId="0" applyNumberFormat="1" applyFont="1" applyAlignment="1">
      <alignment/>
    </xf>
    <xf numFmtId="6" fontId="20" fillId="0" borderId="0" xfId="0" applyNumberFormat="1" applyFont="1" applyAlignment="1">
      <alignment/>
    </xf>
    <xf numFmtId="6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6" fontId="21" fillId="0" borderId="0" xfId="0" applyNumberFormat="1" applyFont="1" applyBorder="1" applyAlignment="1">
      <alignment/>
    </xf>
    <xf numFmtId="6" fontId="22" fillId="0" borderId="0" xfId="0" applyNumberFormat="1" applyFont="1" applyAlignment="1">
      <alignment/>
    </xf>
    <xf numFmtId="6" fontId="23" fillId="0" borderId="0" xfId="19" applyNumberFormat="1" applyFont="1">
      <alignment/>
      <protection/>
    </xf>
    <xf numFmtId="38" fontId="1" fillId="0" borderId="0" xfId="0" applyNumberFormat="1" applyFont="1" applyFill="1" applyBorder="1" applyAlignment="1" applyProtection="1">
      <alignment/>
      <protection/>
    </xf>
    <xf numFmtId="6" fontId="1" fillId="0" borderId="7" xfId="0" applyNumberFormat="1" applyFont="1" applyBorder="1" applyAlignment="1">
      <alignment/>
    </xf>
    <xf numFmtId="6" fontId="1" fillId="0" borderId="5" xfId="0" applyNumberFormat="1" applyFont="1" applyBorder="1" applyAlignment="1">
      <alignment/>
    </xf>
    <xf numFmtId="6" fontId="1" fillId="0" borderId="9" xfId="0" applyNumberFormat="1" applyFont="1" applyBorder="1" applyAlignment="1">
      <alignment/>
    </xf>
    <xf numFmtId="167" fontId="1" fillId="0" borderId="7" xfId="19" applyNumberFormat="1" applyFont="1" applyBorder="1">
      <alignment/>
      <protection/>
    </xf>
    <xf numFmtId="167" fontId="1" fillId="0" borderId="5" xfId="19" applyNumberFormat="1" applyFont="1" applyBorder="1">
      <alignment/>
      <protection/>
    </xf>
    <xf numFmtId="6" fontId="1" fillId="0" borderId="19" xfId="0" applyNumberFormat="1" applyFont="1" applyBorder="1" applyAlignment="1">
      <alignment/>
    </xf>
    <xf numFmtId="17" fontId="1" fillId="2" borderId="7" xfId="0" applyNumberFormat="1" applyFont="1" applyFill="1" applyBorder="1" applyAlignment="1" applyProtection="1" quotePrefix="1">
      <alignment horizontal="right"/>
      <protection locked="0"/>
    </xf>
    <xf numFmtId="17" fontId="1" fillId="2" borderId="5" xfId="0" applyNumberFormat="1" applyFont="1" applyFill="1" applyBorder="1" applyAlignment="1" applyProtection="1" quotePrefix="1">
      <alignment horizontal="right"/>
      <protection locked="0"/>
    </xf>
    <xf numFmtId="17" fontId="1" fillId="2" borderId="19" xfId="0" applyNumberFormat="1" applyFont="1" applyFill="1" applyBorder="1" applyAlignment="1" applyProtection="1" quotePrefix="1">
      <alignment horizontal="right"/>
      <protection locked="0"/>
    </xf>
    <xf numFmtId="0" fontId="1" fillId="2" borderId="19" xfId="19" applyFont="1" applyFill="1" applyBorder="1" applyProtection="1">
      <alignment/>
      <protection locked="0"/>
    </xf>
    <xf numFmtId="3" fontId="1" fillId="2" borderId="19" xfId="19" applyNumberFormat="1" applyFont="1" applyFill="1" applyBorder="1" applyProtection="1">
      <alignment/>
      <protection locked="0"/>
    </xf>
    <xf numFmtId="9" fontId="1" fillId="2" borderId="19" xfId="19" applyNumberFormat="1" applyFont="1" applyFill="1" applyBorder="1" applyProtection="1">
      <alignment/>
      <protection locked="0"/>
    </xf>
    <xf numFmtId="167" fontId="1" fillId="0" borderId="19" xfId="19" applyNumberFormat="1" applyFont="1" applyBorder="1">
      <alignment/>
      <protection/>
    </xf>
    <xf numFmtId="17" fontId="1" fillId="2" borderId="19" xfId="19" applyNumberFormat="1" applyFont="1" applyFill="1" applyBorder="1" applyAlignment="1" applyProtection="1" quotePrefix="1">
      <alignment horizontal="center"/>
      <protection locked="0"/>
    </xf>
    <xf numFmtId="38" fontId="1" fillId="2" borderId="17" xfId="0" applyNumberFormat="1" applyFont="1" applyFill="1" applyBorder="1" applyAlignment="1" applyProtection="1">
      <alignment/>
      <protection locked="0"/>
    </xf>
    <xf numFmtId="38" fontId="1" fillId="2" borderId="18" xfId="0" applyNumberFormat="1" applyFont="1" applyFill="1" applyBorder="1" applyAlignment="1" applyProtection="1">
      <alignment/>
      <protection locked="0"/>
    </xf>
    <xf numFmtId="10" fontId="1" fillId="2" borderId="7" xfId="20" applyNumberFormat="1" applyFont="1" applyFill="1" applyBorder="1" applyAlignment="1" applyProtection="1">
      <alignment/>
      <protection locked="0"/>
    </xf>
    <xf numFmtId="10" fontId="1" fillId="2" borderId="5" xfId="20" applyNumberFormat="1" applyFont="1" applyFill="1" applyBorder="1" applyAlignment="1" applyProtection="1">
      <alignment/>
      <protection locked="0"/>
    </xf>
    <xf numFmtId="10" fontId="1" fillId="2" borderId="9" xfId="20" applyNumberFormat="1" applyFont="1" applyFill="1" applyBorder="1" applyAlignment="1" applyProtection="1">
      <alignment/>
      <protection locked="0"/>
    </xf>
    <xf numFmtId="38" fontId="1" fillId="2" borderId="7" xfId="2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38" fontId="1" fillId="2" borderId="9" xfId="2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>
      <alignment horizontal="center"/>
    </xf>
    <xf numFmtId="6" fontId="1" fillId="2" borderId="11" xfId="0" applyNumberFormat="1" applyFont="1" applyFill="1" applyBorder="1" applyAlignment="1" applyProtection="1">
      <alignment/>
      <protection locked="0"/>
    </xf>
    <xf numFmtId="6" fontId="1" fillId="2" borderId="15" xfId="0" applyNumberFormat="1" applyFont="1" applyFill="1" applyBorder="1" applyAlignment="1" applyProtection="1">
      <alignment/>
      <protection locked="0"/>
    </xf>
    <xf numFmtId="6" fontId="1" fillId="2" borderId="17" xfId="0" applyNumberFormat="1" applyFont="1" applyFill="1" applyBorder="1" applyAlignment="1" applyProtection="1">
      <alignment/>
      <protection locked="0"/>
    </xf>
    <xf numFmtId="6" fontId="1" fillId="0" borderId="5" xfId="0" applyNumberFormat="1" applyFont="1" applyBorder="1" applyAlignment="1">
      <alignment horizontal="right"/>
    </xf>
    <xf numFmtId="38" fontId="1" fillId="2" borderId="13" xfId="0" applyNumberFormat="1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17" fontId="1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17" fontId="8" fillId="0" borderId="0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6" fontId="24" fillId="0" borderId="0" xfId="0" applyNumberFormat="1" applyFont="1" applyBorder="1" applyAlignment="1">
      <alignment/>
    </xf>
    <xf numFmtId="6" fontId="8" fillId="0" borderId="0" xfId="0" applyNumberFormat="1" applyFont="1" applyBorder="1" applyAlignment="1">
      <alignment/>
    </xf>
    <xf numFmtId="14" fontId="25" fillId="0" borderId="0" xfId="19" applyNumberFormat="1" applyFont="1" applyAlignment="1">
      <alignment horizontal="center"/>
      <protection/>
    </xf>
    <xf numFmtId="0" fontId="26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6" fontId="1" fillId="0" borderId="10" xfId="0" applyNumberFormat="1" applyFont="1" applyBorder="1" applyAlignment="1">
      <alignment/>
    </xf>
    <xf numFmtId="6" fontId="1" fillId="0" borderId="12" xfId="0" applyNumberFormat="1" applyFont="1" applyBorder="1" applyAlignment="1">
      <alignment/>
    </xf>
    <xf numFmtId="6" fontId="1" fillId="0" borderId="1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undations 98-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EXPENSES BY PROGRAM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Charts!$B$3:$E$3</c:f>
              <c:strCache/>
            </c:strRef>
          </c:cat>
          <c:val>
            <c:numRef>
              <c:f>Charts!$B$4:$E$4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EXPENSES BY STRATEGY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Charts!$B$7:$P$7</c:f>
              <c:strCache/>
            </c:strRef>
          </c:cat>
          <c:val>
            <c:numRef>
              <c:f>Charts!$B$8:$P$8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REVENUE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Charts!$A$12</c:f>
              <c:strCache>
                <c:ptCount val="1"/>
                <c:pt idx="0">
                  <c:v>Memberships/Contributions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Charts!$A$13</c:f>
              <c:strCache>
                <c:ptCount val="1"/>
                <c:pt idx="0">
                  <c:v>Major Donors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Charts!$A$14</c:f>
              <c:strCache>
                <c:ptCount val="1"/>
                <c:pt idx="0">
                  <c:v>Workplace Giving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Charts!$A$15</c:f>
              <c:strCache>
                <c:ptCount val="1"/>
                <c:pt idx="0">
                  <c:v>Grants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Charts!$A$16</c:f>
              <c:strCache>
                <c:ptCount val="1"/>
                <c:pt idx="0">
                  <c:v>Other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9806355"/>
        <c:axId val="22712876"/>
      </c:scatterChart>
      <c:val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712876"/>
        <c:crosses val="autoZero"/>
        <c:crossBetween val="midCat"/>
        <c:dispUnits/>
      </c:valAx>
      <c:valAx>
        <c:axId val="22712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806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EXPENSE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Charts!$A$19</c:f>
              <c:strCache>
                <c:ptCount val="1"/>
                <c:pt idx="0">
                  <c:v>Salaries, Taxes, and Benefits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Charts!$A$20</c:f>
              <c:strCache>
                <c:ptCount val="1"/>
                <c:pt idx="0">
                  <c:v>Professional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Charts!$A$21</c:f>
              <c:strCache>
                <c:ptCount val="1"/>
                <c:pt idx="0">
                  <c:v>Telephone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Charts!$A$22</c:f>
              <c:strCache>
                <c:ptCount val="1"/>
                <c:pt idx="0">
                  <c:v>Occupancy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Charts!$A$23</c:f>
              <c:strCache>
                <c:ptCount val="1"/>
                <c:pt idx="0">
                  <c:v>Equipment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Charts!$A$24</c:f>
              <c:strCache>
                <c:ptCount val="1"/>
                <c:pt idx="0">
                  <c:v>General  / Misc.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Charts!$A$25</c:f>
              <c:strCache>
                <c:ptCount val="1"/>
                <c:pt idx="0">
                  <c:v>Postage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Charts!$A$26</c:f>
              <c:strCache>
                <c:ptCount val="1"/>
                <c:pt idx="0">
                  <c:v>Travel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Charts!$A$27</c:f>
              <c:strCache>
                <c:ptCount val="1"/>
                <c:pt idx="0">
                  <c:v>Project Expenses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089293"/>
        <c:axId val="27803638"/>
      </c:scatterChart>
      <c:val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crossBetween val="midCat"/>
        <c:dispUnits/>
      </c:valAx>
      <c:valAx>
        <c:axId val="2780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CAPITAL EXPENSES BY PROJECT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Charts!$F$3:$H$3</c:f>
              <c:strCache/>
            </c:strRef>
          </c:cat>
          <c:val>
            <c:numRef>
              <c:f>Charts!$F$4:$H$4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Charts!$F$3:$H$3</c:f>
              <c:strCache/>
            </c:strRef>
          </c:cat>
          <c:val>
            <c:numRef>
              <c:f>Charts!$F$5:$H$5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152400</xdr:rowOff>
    </xdr:from>
    <xdr:to>
      <xdr:col>3</xdr:col>
      <xdr:colOff>323850</xdr:colOff>
      <xdr:row>5</xdr:row>
      <xdr:rowOff>9525</xdr:rowOff>
    </xdr:to>
    <xdr:sp macro="[0]!GoTo5YearSummary">
      <xdr:nvSpPr>
        <xdr:cNvPr id="1" name="TextBox 1"/>
        <xdr:cNvSpPr txBox="1">
          <a:spLocks noChangeArrowheads="1"/>
        </xdr:cNvSpPr>
      </xdr:nvSpPr>
      <xdr:spPr>
        <a:xfrm>
          <a:off x="542925" y="771525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5 Year Summary </a:t>
          </a:r>
        </a:p>
      </xdr:txBody>
    </xdr:sp>
    <xdr:clientData/>
  </xdr:twoCellAnchor>
  <xdr:twoCellAnchor>
    <xdr:from>
      <xdr:col>0</xdr:col>
      <xdr:colOff>523875</xdr:colOff>
      <xdr:row>8</xdr:row>
      <xdr:rowOff>152400</xdr:rowOff>
    </xdr:from>
    <xdr:to>
      <xdr:col>3</xdr:col>
      <xdr:colOff>352425</xdr:colOff>
      <xdr:row>10</xdr:row>
      <xdr:rowOff>152400</xdr:rowOff>
    </xdr:to>
    <xdr:sp macro="[0]!GoTo1YearGeneralOpCapBudget">
      <xdr:nvSpPr>
        <xdr:cNvPr id="2" name="TextBox 2"/>
        <xdr:cNvSpPr txBox="1">
          <a:spLocks noChangeArrowheads="1"/>
        </xdr:cNvSpPr>
      </xdr:nvSpPr>
      <xdr:spPr>
        <a:xfrm>
          <a:off x="523875" y="1581150"/>
          <a:ext cx="16573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 Year General Op. Cap. Budget</a:t>
          </a:r>
        </a:p>
      </xdr:txBody>
    </xdr:sp>
    <xdr:clientData/>
  </xdr:twoCellAnchor>
  <xdr:twoCellAnchor>
    <xdr:from>
      <xdr:col>0</xdr:col>
      <xdr:colOff>523875</xdr:colOff>
      <xdr:row>13</xdr:row>
      <xdr:rowOff>152400</xdr:rowOff>
    </xdr:from>
    <xdr:to>
      <xdr:col>3</xdr:col>
      <xdr:colOff>361950</xdr:colOff>
      <xdr:row>16</xdr:row>
      <xdr:rowOff>19050</xdr:rowOff>
    </xdr:to>
    <xdr:sp macro="[0]!GoTo1YearDetailedFunctionalBudget">
      <xdr:nvSpPr>
        <xdr:cNvPr id="3" name="TextBox 4"/>
        <xdr:cNvSpPr txBox="1">
          <a:spLocks noChangeArrowheads="1"/>
        </xdr:cNvSpPr>
      </xdr:nvSpPr>
      <xdr:spPr>
        <a:xfrm>
          <a:off x="523875" y="2390775"/>
          <a:ext cx="1666875" cy="352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 Year Detailed Functional Budget</a:t>
          </a:r>
        </a:p>
      </xdr:txBody>
    </xdr:sp>
    <xdr:clientData/>
  </xdr:twoCellAnchor>
  <xdr:twoCellAnchor>
    <xdr:from>
      <xdr:col>0</xdr:col>
      <xdr:colOff>561975</xdr:colOff>
      <xdr:row>17</xdr:row>
      <xdr:rowOff>28575</xdr:rowOff>
    </xdr:from>
    <xdr:to>
      <xdr:col>3</xdr:col>
      <xdr:colOff>342900</xdr:colOff>
      <xdr:row>17</xdr:row>
      <xdr:rowOff>209550</xdr:rowOff>
    </xdr:to>
    <xdr:sp macro="[0]!GoToCapitalBudget">
      <xdr:nvSpPr>
        <xdr:cNvPr id="4" name="TextBox 5"/>
        <xdr:cNvSpPr txBox="1">
          <a:spLocks noChangeArrowheads="1"/>
        </xdr:cNvSpPr>
      </xdr:nvSpPr>
      <xdr:spPr>
        <a:xfrm>
          <a:off x="561975" y="2914650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Capital Budget</a:t>
          </a:r>
        </a:p>
      </xdr:txBody>
    </xdr:sp>
    <xdr:clientData/>
  </xdr:twoCellAnchor>
  <xdr:twoCellAnchor>
    <xdr:from>
      <xdr:col>4</xdr:col>
      <xdr:colOff>409575</xdr:colOff>
      <xdr:row>4</xdr:row>
      <xdr:rowOff>0</xdr:rowOff>
    </xdr:from>
    <xdr:to>
      <xdr:col>7</xdr:col>
      <xdr:colOff>190500</xdr:colOff>
      <xdr:row>5</xdr:row>
      <xdr:rowOff>19050</xdr:rowOff>
    </xdr:to>
    <xdr:sp macro="[0]!GoToConservationProgram">
      <xdr:nvSpPr>
        <xdr:cNvPr id="5" name="TextBox 6"/>
        <xdr:cNvSpPr txBox="1">
          <a:spLocks noChangeArrowheads="1"/>
        </xdr:cNvSpPr>
      </xdr:nvSpPr>
      <xdr:spPr>
        <a:xfrm>
          <a:off x="2847975" y="781050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Conservation</a:t>
          </a:r>
        </a:p>
      </xdr:txBody>
    </xdr:sp>
    <xdr:clientData/>
  </xdr:twoCellAnchor>
  <xdr:twoCellAnchor>
    <xdr:from>
      <xdr:col>4</xdr:col>
      <xdr:colOff>419100</xdr:colOff>
      <xdr:row>11</xdr:row>
      <xdr:rowOff>28575</xdr:rowOff>
    </xdr:from>
    <xdr:to>
      <xdr:col>7</xdr:col>
      <xdr:colOff>200025</xdr:colOff>
      <xdr:row>12</xdr:row>
      <xdr:rowOff>47625</xdr:rowOff>
    </xdr:to>
    <xdr:sp macro="[0]!GoToAdministrationProgram">
      <xdr:nvSpPr>
        <xdr:cNvPr id="6" name="TextBox 7"/>
        <xdr:cNvSpPr txBox="1">
          <a:spLocks noChangeArrowheads="1"/>
        </xdr:cNvSpPr>
      </xdr:nvSpPr>
      <xdr:spPr>
        <a:xfrm>
          <a:off x="2857500" y="1943100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Administration </a:t>
          </a:r>
        </a:p>
      </xdr:txBody>
    </xdr:sp>
    <xdr:clientData/>
  </xdr:twoCellAnchor>
  <xdr:twoCellAnchor>
    <xdr:from>
      <xdr:col>4</xdr:col>
      <xdr:colOff>419100</xdr:colOff>
      <xdr:row>8</xdr:row>
      <xdr:rowOff>114300</xdr:rowOff>
    </xdr:from>
    <xdr:to>
      <xdr:col>7</xdr:col>
      <xdr:colOff>200025</xdr:colOff>
      <xdr:row>9</xdr:row>
      <xdr:rowOff>133350</xdr:rowOff>
    </xdr:to>
    <xdr:sp macro="[0]!GoToDevelopmentProgram">
      <xdr:nvSpPr>
        <xdr:cNvPr id="7" name="TextBox 8"/>
        <xdr:cNvSpPr txBox="1">
          <a:spLocks noChangeArrowheads="1"/>
        </xdr:cNvSpPr>
      </xdr:nvSpPr>
      <xdr:spPr>
        <a:xfrm>
          <a:off x="2857500" y="1543050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Development</a:t>
          </a:r>
        </a:p>
      </xdr:txBody>
    </xdr:sp>
    <xdr:clientData/>
  </xdr:twoCellAnchor>
  <xdr:twoCellAnchor>
    <xdr:from>
      <xdr:col>4</xdr:col>
      <xdr:colOff>390525</xdr:colOff>
      <xdr:row>6</xdr:row>
      <xdr:rowOff>47625</xdr:rowOff>
    </xdr:from>
    <xdr:to>
      <xdr:col>7</xdr:col>
      <xdr:colOff>171450</xdr:colOff>
      <xdr:row>7</xdr:row>
      <xdr:rowOff>66675</xdr:rowOff>
    </xdr:to>
    <xdr:sp macro="[0]!GoToOutreachProgram">
      <xdr:nvSpPr>
        <xdr:cNvPr id="8" name="TextBox 9"/>
        <xdr:cNvSpPr txBox="1">
          <a:spLocks noChangeArrowheads="1"/>
        </xdr:cNvSpPr>
      </xdr:nvSpPr>
      <xdr:spPr>
        <a:xfrm>
          <a:off x="2828925" y="1152525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Outreach</a:t>
          </a:r>
        </a:p>
      </xdr:txBody>
    </xdr:sp>
    <xdr:clientData/>
  </xdr:twoCellAnchor>
  <xdr:twoCellAnchor>
    <xdr:from>
      <xdr:col>12</xdr:col>
      <xdr:colOff>76200</xdr:colOff>
      <xdr:row>8</xdr:row>
      <xdr:rowOff>104775</xdr:rowOff>
    </xdr:from>
    <xdr:to>
      <xdr:col>14</xdr:col>
      <xdr:colOff>466725</xdr:colOff>
      <xdr:row>9</xdr:row>
      <xdr:rowOff>123825</xdr:rowOff>
    </xdr:to>
    <xdr:sp macro="[0]!GoToGrants">
      <xdr:nvSpPr>
        <xdr:cNvPr id="9" name="TextBox 13"/>
        <xdr:cNvSpPr txBox="1">
          <a:spLocks noChangeArrowheads="1"/>
        </xdr:cNvSpPr>
      </xdr:nvSpPr>
      <xdr:spPr>
        <a:xfrm>
          <a:off x="7391400" y="153352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Grants</a:t>
          </a:r>
        </a:p>
      </xdr:txBody>
    </xdr:sp>
    <xdr:clientData/>
  </xdr:twoCellAnchor>
  <xdr:twoCellAnchor>
    <xdr:from>
      <xdr:col>12</xdr:col>
      <xdr:colOff>66675</xdr:colOff>
      <xdr:row>6</xdr:row>
      <xdr:rowOff>66675</xdr:rowOff>
    </xdr:from>
    <xdr:to>
      <xdr:col>14</xdr:col>
      <xdr:colOff>457200</xdr:colOff>
      <xdr:row>7</xdr:row>
      <xdr:rowOff>85725</xdr:rowOff>
    </xdr:to>
    <xdr:sp macro="[0]!GoToMajorDonors">
      <xdr:nvSpPr>
        <xdr:cNvPr id="10" name="TextBox 14"/>
        <xdr:cNvSpPr txBox="1">
          <a:spLocks noChangeArrowheads="1"/>
        </xdr:cNvSpPr>
      </xdr:nvSpPr>
      <xdr:spPr>
        <a:xfrm>
          <a:off x="7381875" y="117157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Major Donors</a:t>
          </a:r>
        </a:p>
      </xdr:txBody>
    </xdr:sp>
    <xdr:clientData/>
  </xdr:twoCellAnchor>
  <xdr:twoCellAnchor>
    <xdr:from>
      <xdr:col>12</xdr:col>
      <xdr:colOff>47625</xdr:colOff>
      <xdr:row>4</xdr:row>
      <xdr:rowOff>28575</xdr:rowOff>
    </xdr:from>
    <xdr:to>
      <xdr:col>14</xdr:col>
      <xdr:colOff>438150</xdr:colOff>
      <xdr:row>5</xdr:row>
      <xdr:rowOff>47625</xdr:rowOff>
    </xdr:to>
    <xdr:sp macro="[0]!GoToMembership">
      <xdr:nvSpPr>
        <xdr:cNvPr id="11" name="TextBox 15"/>
        <xdr:cNvSpPr txBox="1">
          <a:spLocks noChangeArrowheads="1"/>
        </xdr:cNvSpPr>
      </xdr:nvSpPr>
      <xdr:spPr>
        <a:xfrm>
          <a:off x="7362825" y="80962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Membership</a:t>
          </a:r>
        </a:p>
      </xdr:txBody>
    </xdr:sp>
    <xdr:clientData/>
  </xdr:twoCellAnchor>
  <xdr:twoCellAnchor>
    <xdr:from>
      <xdr:col>7</xdr:col>
      <xdr:colOff>600075</xdr:colOff>
      <xdr:row>13</xdr:row>
      <xdr:rowOff>104775</xdr:rowOff>
    </xdr:from>
    <xdr:to>
      <xdr:col>10</xdr:col>
      <xdr:colOff>381000</xdr:colOff>
      <xdr:row>14</xdr:row>
      <xdr:rowOff>123825</xdr:rowOff>
    </xdr:to>
    <xdr:sp macro="[0]!GoToCapitalProjects">
      <xdr:nvSpPr>
        <xdr:cNvPr id="12" name="TextBox 19"/>
        <xdr:cNvSpPr txBox="1">
          <a:spLocks noChangeArrowheads="1"/>
        </xdr:cNvSpPr>
      </xdr:nvSpPr>
      <xdr:spPr>
        <a:xfrm>
          <a:off x="4867275" y="2343150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Capital </a:t>
          </a:r>
        </a:p>
      </xdr:txBody>
    </xdr:sp>
    <xdr:clientData/>
  </xdr:twoCellAnchor>
  <xdr:twoCellAnchor>
    <xdr:from>
      <xdr:col>12</xdr:col>
      <xdr:colOff>142875</xdr:colOff>
      <xdr:row>19</xdr:row>
      <xdr:rowOff>28575</xdr:rowOff>
    </xdr:from>
    <xdr:to>
      <xdr:col>14</xdr:col>
      <xdr:colOff>533400</xdr:colOff>
      <xdr:row>20</xdr:row>
      <xdr:rowOff>47625</xdr:rowOff>
    </xdr:to>
    <xdr:sp macro="[0]!GoToShared">
      <xdr:nvSpPr>
        <xdr:cNvPr id="13" name="TextBox 22"/>
        <xdr:cNvSpPr txBox="1">
          <a:spLocks noChangeArrowheads="1"/>
        </xdr:cNvSpPr>
      </xdr:nvSpPr>
      <xdr:spPr>
        <a:xfrm>
          <a:off x="7458075" y="3305175"/>
          <a:ext cx="1609725" cy="247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Shared</a:t>
          </a:r>
        </a:p>
      </xdr:txBody>
    </xdr:sp>
    <xdr:clientData/>
  </xdr:twoCellAnchor>
  <xdr:twoCellAnchor>
    <xdr:from>
      <xdr:col>12</xdr:col>
      <xdr:colOff>123825</xdr:colOff>
      <xdr:row>21</xdr:row>
      <xdr:rowOff>114300</xdr:rowOff>
    </xdr:from>
    <xdr:to>
      <xdr:col>14</xdr:col>
      <xdr:colOff>514350</xdr:colOff>
      <xdr:row>22</xdr:row>
      <xdr:rowOff>133350</xdr:rowOff>
    </xdr:to>
    <xdr:sp macro="[0]!GoToStaffExpenses">
      <xdr:nvSpPr>
        <xdr:cNvPr id="14" name="TextBox 23"/>
        <xdr:cNvSpPr txBox="1">
          <a:spLocks noChangeArrowheads="1"/>
        </xdr:cNvSpPr>
      </xdr:nvSpPr>
      <xdr:spPr>
        <a:xfrm>
          <a:off x="7439025" y="3781425"/>
          <a:ext cx="1609725" cy="180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Staff Expenses</a:t>
          </a:r>
        </a:p>
      </xdr:txBody>
    </xdr:sp>
    <xdr:clientData/>
  </xdr:twoCellAnchor>
  <xdr:twoCellAnchor>
    <xdr:from>
      <xdr:col>12</xdr:col>
      <xdr:colOff>66675</xdr:colOff>
      <xdr:row>13</xdr:row>
      <xdr:rowOff>104775</xdr:rowOff>
    </xdr:from>
    <xdr:to>
      <xdr:col>14</xdr:col>
      <xdr:colOff>457200</xdr:colOff>
      <xdr:row>14</xdr:row>
      <xdr:rowOff>123825</xdr:rowOff>
    </xdr:to>
    <xdr:sp macro="[0]!GoToUnrestrictedRevenue">
      <xdr:nvSpPr>
        <xdr:cNvPr id="15" name="TextBox 24"/>
        <xdr:cNvSpPr txBox="1">
          <a:spLocks noChangeArrowheads="1"/>
        </xdr:cNvSpPr>
      </xdr:nvSpPr>
      <xdr:spPr>
        <a:xfrm>
          <a:off x="7381875" y="2343150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Unrestricted Revenue</a:t>
          </a:r>
        </a:p>
      </xdr:txBody>
    </xdr:sp>
    <xdr:clientData/>
  </xdr:twoCellAnchor>
  <xdr:twoCellAnchor>
    <xdr:from>
      <xdr:col>0</xdr:col>
      <xdr:colOff>561975</xdr:colOff>
      <xdr:row>25</xdr:row>
      <xdr:rowOff>104775</xdr:rowOff>
    </xdr:from>
    <xdr:to>
      <xdr:col>3</xdr:col>
      <xdr:colOff>342900</xdr:colOff>
      <xdr:row>26</xdr:row>
      <xdr:rowOff>123825</xdr:rowOff>
    </xdr:to>
    <xdr:sp macro="[0]!GoToExpenseHistory">
      <xdr:nvSpPr>
        <xdr:cNvPr id="16" name="TextBox 28"/>
        <xdr:cNvSpPr txBox="1">
          <a:spLocks noChangeArrowheads="1"/>
        </xdr:cNvSpPr>
      </xdr:nvSpPr>
      <xdr:spPr>
        <a:xfrm>
          <a:off x="561975" y="4419600"/>
          <a:ext cx="1609725" cy="180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Expense History</a:t>
          </a:r>
        </a:p>
      </xdr:txBody>
    </xdr:sp>
    <xdr:clientData/>
  </xdr:twoCellAnchor>
  <xdr:twoCellAnchor>
    <xdr:from>
      <xdr:col>0</xdr:col>
      <xdr:colOff>561975</xdr:colOff>
      <xdr:row>23</xdr:row>
      <xdr:rowOff>76200</xdr:rowOff>
    </xdr:from>
    <xdr:to>
      <xdr:col>3</xdr:col>
      <xdr:colOff>342900</xdr:colOff>
      <xdr:row>24</xdr:row>
      <xdr:rowOff>95250</xdr:rowOff>
    </xdr:to>
    <xdr:sp macro="[0]!GoToRevenueHistory">
      <xdr:nvSpPr>
        <xdr:cNvPr id="17" name="TextBox 29"/>
        <xdr:cNvSpPr txBox="1">
          <a:spLocks noChangeArrowheads="1"/>
        </xdr:cNvSpPr>
      </xdr:nvSpPr>
      <xdr:spPr>
        <a:xfrm>
          <a:off x="561975" y="4067175"/>
          <a:ext cx="1609725" cy="180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Revenue History</a:t>
          </a:r>
        </a:p>
      </xdr:txBody>
    </xdr:sp>
    <xdr:clientData/>
  </xdr:twoCellAnchor>
  <xdr:twoCellAnchor>
    <xdr:from>
      <xdr:col>0</xdr:col>
      <xdr:colOff>542925</xdr:colOff>
      <xdr:row>21</xdr:row>
      <xdr:rowOff>76200</xdr:rowOff>
    </xdr:from>
    <xdr:to>
      <xdr:col>3</xdr:col>
      <xdr:colOff>323850</xdr:colOff>
      <xdr:row>22</xdr:row>
      <xdr:rowOff>95250</xdr:rowOff>
    </xdr:to>
    <xdr:sp macro="[0]!GoToExpensesbyProgram">
      <xdr:nvSpPr>
        <xdr:cNvPr id="18" name="TextBox 30"/>
        <xdr:cNvSpPr txBox="1">
          <a:spLocks noChangeArrowheads="1"/>
        </xdr:cNvSpPr>
      </xdr:nvSpPr>
      <xdr:spPr>
        <a:xfrm>
          <a:off x="542925" y="3743325"/>
          <a:ext cx="1609725" cy="180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Expenses by Program</a:t>
          </a:r>
        </a:p>
      </xdr:txBody>
    </xdr:sp>
    <xdr:clientData/>
  </xdr:twoCellAnchor>
  <xdr:twoCellAnchor>
    <xdr:from>
      <xdr:col>8</xdr:col>
      <xdr:colOff>0</xdr:colOff>
      <xdr:row>4</xdr:row>
      <xdr:rowOff>28575</xdr:rowOff>
    </xdr:from>
    <xdr:to>
      <xdr:col>10</xdr:col>
      <xdr:colOff>390525</xdr:colOff>
      <xdr:row>5</xdr:row>
      <xdr:rowOff>47625</xdr:rowOff>
    </xdr:to>
    <xdr:sp macro="[0]!GoToConservationProjects">
      <xdr:nvSpPr>
        <xdr:cNvPr id="19" name="TextBox 31"/>
        <xdr:cNvSpPr txBox="1">
          <a:spLocks noChangeArrowheads="1"/>
        </xdr:cNvSpPr>
      </xdr:nvSpPr>
      <xdr:spPr>
        <a:xfrm>
          <a:off x="4876800" y="8096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Conservation</a:t>
          </a:r>
        </a:p>
      </xdr:txBody>
    </xdr:sp>
    <xdr:clientData/>
  </xdr:twoCellAnchor>
  <xdr:twoCellAnchor>
    <xdr:from>
      <xdr:col>8</xdr:col>
      <xdr:colOff>28575</xdr:colOff>
      <xdr:row>6</xdr:row>
      <xdr:rowOff>85725</xdr:rowOff>
    </xdr:from>
    <xdr:to>
      <xdr:col>10</xdr:col>
      <xdr:colOff>419100</xdr:colOff>
      <xdr:row>7</xdr:row>
      <xdr:rowOff>104775</xdr:rowOff>
    </xdr:to>
    <xdr:sp macro="[0]!GoTOOutreachProjects">
      <xdr:nvSpPr>
        <xdr:cNvPr id="20" name="TextBox 32"/>
        <xdr:cNvSpPr txBox="1">
          <a:spLocks noChangeArrowheads="1"/>
        </xdr:cNvSpPr>
      </xdr:nvSpPr>
      <xdr:spPr>
        <a:xfrm>
          <a:off x="4905375" y="11906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Outreach</a:t>
          </a:r>
        </a:p>
      </xdr:txBody>
    </xdr:sp>
    <xdr:clientData/>
  </xdr:twoCellAnchor>
  <xdr:twoCellAnchor>
    <xdr:from>
      <xdr:col>8</xdr:col>
      <xdr:colOff>28575</xdr:colOff>
      <xdr:row>8</xdr:row>
      <xdr:rowOff>104775</xdr:rowOff>
    </xdr:from>
    <xdr:to>
      <xdr:col>10</xdr:col>
      <xdr:colOff>419100</xdr:colOff>
      <xdr:row>9</xdr:row>
      <xdr:rowOff>123825</xdr:rowOff>
    </xdr:to>
    <xdr:sp macro="[0]!GoToDevelopmentProjects">
      <xdr:nvSpPr>
        <xdr:cNvPr id="21" name="TextBox 33"/>
        <xdr:cNvSpPr txBox="1">
          <a:spLocks noChangeArrowheads="1"/>
        </xdr:cNvSpPr>
      </xdr:nvSpPr>
      <xdr:spPr>
        <a:xfrm>
          <a:off x="4905375" y="15335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Development</a:t>
          </a:r>
        </a:p>
      </xdr:txBody>
    </xdr:sp>
    <xdr:clientData/>
  </xdr:twoCellAnchor>
  <xdr:twoCellAnchor>
    <xdr:from>
      <xdr:col>8</xdr:col>
      <xdr:colOff>28575</xdr:colOff>
      <xdr:row>11</xdr:row>
      <xdr:rowOff>38100</xdr:rowOff>
    </xdr:from>
    <xdr:to>
      <xdr:col>10</xdr:col>
      <xdr:colOff>419100</xdr:colOff>
      <xdr:row>12</xdr:row>
      <xdr:rowOff>57150</xdr:rowOff>
    </xdr:to>
    <xdr:sp macro="[0]!GoToAdministrationProjects">
      <xdr:nvSpPr>
        <xdr:cNvPr id="22" name="TextBox 34"/>
        <xdr:cNvSpPr txBox="1">
          <a:spLocks noChangeArrowheads="1"/>
        </xdr:cNvSpPr>
      </xdr:nvSpPr>
      <xdr:spPr>
        <a:xfrm>
          <a:off x="4905375" y="19526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Administration</a:t>
          </a:r>
        </a:p>
      </xdr:txBody>
    </xdr:sp>
    <xdr:clientData/>
  </xdr:twoCellAnchor>
  <xdr:twoCellAnchor>
    <xdr:from>
      <xdr:col>12</xdr:col>
      <xdr:colOff>76200</xdr:colOff>
      <xdr:row>11</xdr:row>
      <xdr:rowOff>38100</xdr:rowOff>
    </xdr:from>
    <xdr:to>
      <xdr:col>14</xdr:col>
      <xdr:colOff>466725</xdr:colOff>
      <xdr:row>12</xdr:row>
      <xdr:rowOff>57150</xdr:rowOff>
    </xdr:to>
    <xdr:sp macro="[0]!GoToRevenueProjects">
      <xdr:nvSpPr>
        <xdr:cNvPr id="23" name="TextBox 35"/>
        <xdr:cNvSpPr txBox="1">
          <a:spLocks noChangeArrowheads="1"/>
        </xdr:cNvSpPr>
      </xdr:nvSpPr>
      <xdr:spPr>
        <a:xfrm>
          <a:off x="7391400" y="195262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Revenue Projects</a:t>
          </a:r>
        </a:p>
      </xdr:txBody>
    </xdr:sp>
    <xdr:clientData/>
  </xdr:twoCellAnchor>
  <xdr:twoCellAnchor>
    <xdr:from>
      <xdr:col>0</xdr:col>
      <xdr:colOff>533400</xdr:colOff>
      <xdr:row>6</xdr:row>
      <xdr:rowOff>104775</xdr:rowOff>
    </xdr:from>
    <xdr:to>
      <xdr:col>3</xdr:col>
      <xdr:colOff>314325</xdr:colOff>
      <xdr:row>7</xdr:row>
      <xdr:rowOff>123825</xdr:rowOff>
    </xdr:to>
    <xdr:sp macro="[0]!GoTo5YearStrategicPlan">
      <xdr:nvSpPr>
        <xdr:cNvPr id="24" name="TextBox 36"/>
        <xdr:cNvSpPr txBox="1">
          <a:spLocks noChangeArrowheads="1"/>
        </xdr:cNvSpPr>
      </xdr:nvSpPr>
      <xdr:spPr>
        <a:xfrm>
          <a:off x="533400" y="1209675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5 Year Strategic Plan</a:t>
          </a:r>
        </a:p>
      </xdr:txBody>
    </xdr:sp>
    <xdr:clientData/>
  </xdr:twoCellAnchor>
  <xdr:twoCellAnchor>
    <xdr:from>
      <xdr:col>0</xdr:col>
      <xdr:colOff>542925</xdr:colOff>
      <xdr:row>11</xdr:row>
      <xdr:rowOff>152400</xdr:rowOff>
    </xdr:from>
    <xdr:to>
      <xdr:col>3</xdr:col>
      <xdr:colOff>323850</xdr:colOff>
      <xdr:row>13</xdr:row>
      <xdr:rowOff>9525</xdr:rowOff>
    </xdr:to>
    <xdr:sp macro="[0]!GoToCashBudget">
      <xdr:nvSpPr>
        <xdr:cNvPr id="25" name="TextBox 37"/>
        <xdr:cNvSpPr txBox="1">
          <a:spLocks noChangeArrowheads="1"/>
        </xdr:cNvSpPr>
      </xdr:nvSpPr>
      <xdr:spPr>
        <a:xfrm>
          <a:off x="542925" y="2066925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Cash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152400</xdr:rowOff>
    </xdr:from>
    <xdr:to>
      <xdr:col>2</xdr:col>
      <xdr:colOff>923925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295275" y="4524375"/>
        <a:ext cx="3467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51</xdr:row>
      <xdr:rowOff>47625</xdr:rowOff>
    </xdr:from>
    <xdr:to>
      <xdr:col>6</xdr:col>
      <xdr:colOff>752475</xdr:colOff>
      <xdr:row>77</xdr:row>
      <xdr:rowOff>114300</xdr:rowOff>
    </xdr:to>
    <xdr:graphicFrame>
      <xdr:nvGraphicFramePr>
        <xdr:cNvPr id="2" name="Chart 2"/>
        <xdr:cNvGraphicFramePr/>
      </xdr:nvGraphicFramePr>
      <xdr:xfrm>
        <a:off x="342900" y="8305800"/>
        <a:ext cx="6724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79</xdr:row>
      <xdr:rowOff>28575</xdr:rowOff>
    </xdr:from>
    <xdr:to>
      <xdr:col>6</xdr:col>
      <xdr:colOff>704850</xdr:colOff>
      <xdr:row>105</xdr:row>
      <xdr:rowOff>19050</xdr:rowOff>
    </xdr:to>
    <xdr:graphicFrame>
      <xdr:nvGraphicFramePr>
        <xdr:cNvPr id="3" name="Chart 3"/>
        <xdr:cNvGraphicFramePr/>
      </xdr:nvGraphicFramePr>
      <xdr:xfrm>
        <a:off x="419100" y="12820650"/>
        <a:ext cx="660082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466725</xdr:colOff>
      <xdr:row>107</xdr:row>
      <xdr:rowOff>0</xdr:rowOff>
    </xdr:from>
    <xdr:to>
      <xdr:col>6</xdr:col>
      <xdr:colOff>676275</xdr:colOff>
      <xdr:row>131</xdr:row>
      <xdr:rowOff>95250</xdr:rowOff>
    </xdr:to>
    <xdr:graphicFrame>
      <xdr:nvGraphicFramePr>
        <xdr:cNvPr id="4" name="Chart 4"/>
        <xdr:cNvGraphicFramePr/>
      </xdr:nvGraphicFramePr>
      <xdr:xfrm>
        <a:off x="466725" y="17325975"/>
        <a:ext cx="6524625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914400</xdr:colOff>
      <xdr:row>27</xdr:row>
      <xdr:rowOff>152400</xdr:rowOff>
    </xdr:from>
    <xdr:to>
      <xdr:col>6</xdr:col>
      <xdr:colOff>771525</xdr:colOff>
      <xdr:row>50</xdr:row>
      <xdr:rowOff>0</xdr:rowOff>
    </xdr:to>
    <xdr:graphicFrame>
      <xdr:nvGraphicFramePr>
        <xdr:cNvPr id="5" name="Chart 5"/>
        <xdr:cNvGraphicFramePr/>
      </xdr:nvGraphicFramePr>
      <xdr:xfrm>
        <a:off x="3752850" y="4524375"/>
        <a:ext cx="33337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opted%20Budget%20FY%2099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Organization"/>
      <sheetName val="ONRC History"/>
      <sheetName val="Fund History "/>
      <sheetName val="Action History "/>
      <sheetName val="ONRC"/>
      <sheetName val="Fund"/>
      <sheetName val="Action"/>
      <sheetName val="Cash Budget"/>
      <sheetName val="Project"/>
      <sheetName val="Charts"/>
      <sheetName val="Foundations"/>
      <sheetName val="Membership"/>
      <sheetName val="Program"/>
      <sheetName val="Shared"/>
      <sheetName val="Allocation"/>
      <sheetName val="Wages Alloc."/>
      <sheetName val="Line of Credit"/>
      <sheetName val="Long Term Debt"/>
      <sheetName val="Catagor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P20"/>
  <sheetViews>
    <sheetView showGridLines="0" zoomScale="75" zoomScaleNormal="75" workbookViewId="0" topLeftCell="A1">
      <selection activeCell="J31" sqref="J31"/>
    </sheetView>
  </sheetViews>
  <sheetFormatPr defaultColWidth="9.140625" defaultRowHeight="12.75"/>
  <cols>
    <col min="1" max="16384" width="9.140625" style="2" customWidth="1"/>
  </cols>
  <sheetData>
    <row r="1" ht="18">
      <c r="B1" s="8" t="s">
        <v>39</v>
      </c>
    </row>
    <row r="3" spans="2:13" ht="18">
      <c r="B3" s="8" t="s">
        <v>36</v>
      </c>
      <c r="E3" s="279" t="s">
        <v>196</v>
      </c>
      <c r="F3" s="279"/>
      <c r="G3" s="279"/>
      <c r="H3" s="279"/>
      <c r="I3" s="10" t="s">
        <v>40</v>
      </c>
      <c r="J3" s="9"/>
      <c r="K3" s="9"/>
      <c r="L3" s="9"/>
      <c r="M3" s="8" t="s">
        <v>38</v>
      </c>
    </row>
    <row r="18" spans="5:16" ht="18">
      <c r="E18" s="279"/>
      <c r="F18" s="279"/>
      <c r="G18" s="279"/>
      <c r="H18" s="279"/>
      <c r="M18" s="10" t="s">
        <v>158</v>
      </c>
      <c r="N18" s="9"/>
      <c r="O18" s="9"/>
      <c r="P18" s="9"/>
    </row>
    <row r="20" ht="18">
      <c r="B20" s="8" t="s">
        <v>37</v>
      </c>
    </row>
  </sheetData>
  <sheetProtection sheet="1" objects="1" scenarios="1"/>
  <mergeCells count="2">
    <mergeCell ref="E3:H3"/>
    <mergeCell ref="E18:H18"/>
  </mergeCells>
  <printOptions/>
  <pageMargins left="0.75" right="0.75" top="1" bottom="1" header="0.5" footer="0.5"/>
  <pageSetup fitToHeight="1" fitToWidth="1" horizontalDpi="300" verticalDpi="300" orientation="landscape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1" customWidth="1"/>
    <col min="2" max="4" width="15.7109375" style="1" customWidth="1"/>
    <col min="5" max="5" width="13.140625" style="1" customWidth="1"/>
    <col min="6" max="16384" width="9.140625" style="1" customWidth="1"/>
  </cols>
  <sheetData>
    <row r="1" spans="1:4" ht="12.75">
      <c r="A1" s="7" t="str">
        <f>'Chart of Accounts'!A25</f>
        <v>Capital</v>
      </c>
      <c r="B1" s="251" t="s">
        <v>153</v>
      </c>
      <c r="C1" s="251" t="s">
        <v>153</v>
      </c>
      <c r="D1" s="251" t="s">
        <v>153</v>
      </c>
    </row>
    <row r="2" spans="2:5" ht="12.75">
      <c r="B2" s="253" t="str">
        <f>'Chart of Accounts'!$A$26</f>
        <v>Waterfall</v>
      </c>
      <c r="C2" s="253" t="str">
        <f>'Chart of Accounts'!$A$27</f>
        <v>Lookout</v>
      </c>
      <c r="D2" s="253" t="str">
        <f>'Chart of Accounts'!$A$28</f>
        <v>Bluff</v>
      </c>
      <c r="E2" s="17" t="s">
        <v>46</v>
      </c>
    </row>
    <row r="3" spans="1:4" ht="12.75">
      <c r="A3" s="7" t="s">
        <v>27</v>
      </c>
      <c r="B3" s="80"/>
      <c r="C3" s="80"/>
      <c r="D3" s="80"/>
    </row>
    <row r="4" spans="1:5" ht="12.75">
      <c r="A4" s="1" t="str">
        <f>'Chart of Accounts'!B4</f>
        <v>New Members</v>
      </c>
      <c r="B4" s="188">
        <f>'Unrestricted Revenue'!S33+SUM(Membership!$C$32*Membership!$C$39*Membership!$C$40*Membership!$C$43+Membership!$D$32*Membership!$D$39*Membership!$D$40*Membership!$D$43+Membership!$E$32*Membership!$E$39*Membership!$E$40*Membership!$E$43+Membership!$F$32*Membership!$F$39*Membership!$F$40*Membership!$F$43)*'Unrestricted Revenue'!S22</f>
        <v>0</v>
      </c>
      <c r="C4" s="188">
        <f>'Unrestricted Revenue'!T33+SUM(Membership!$C$32*Membership!$C$39*Membership!$C$40*Membership!$C$43+Membership!$D$32*Membership!$D$39*Membership!$D$40*Membership!$D$43+Membership!$E$32*Membership!$E$39*Membership!$E$40*Membership!$E$43+Membership!$F$32*Membership!$F$39*Membership!$F$40*Membership!$F$43)*'Unrestricted Revenue'!T22</f>
        <v>0</v>
      </c>
      <c r="D4" s="188">
        <f>'Unrestricted Revenue'!U33+SUM(Membership!$C$32*Membership!$C$39*Membership!$C$40*Membership!$C$43+Membership!$D$32*Membership!$D$39*Membership!$D$40*Membership!$D$43+Membership!$E$32*Membership!$E$39*Membership!$E$40*Membership!$E$43+Membership!$F$32*Membership!$F$39*Membership!$F$40*Membership!$F$43)*'Unrestricted Revenue'!U22</f>
        <v>0</v>
      </c>
      <c r="E4" s="188">
        <f aca="true" t="shared" si="0" ref="E4:E12">SUM(B4:D4)</f>
        <v>0</v>
      </c>
    </row>
    <row r="5" spans="1:5" ht="12.75">
      <c r="A5" s="1" t="str">
        <f>'Chart of Accounts'!B5</f>
        <v>Renewals</v>
      </c>
      <c r="B5" s="116">
        <f>'Unrestricted Revenue'!S34+SUM(Membership!$C$4*Membership!$C$11*Membership!$C$12*Membership!$C$15+Membership!$D$4*Membership!$D$11*Membership!$D$12*Membership!$D$15+Membership!$E$13*Membership!$E$15+Membership!$F$13*Membership!$F$15)*'Unrestricted Revenue'!S22</f>
        <v>0</v>
      </c>
      <c r="C5" s="116">
        <f>'Unrestricted Revenue'!T34+SUM(Membership!$C$4*Membership!$C$11*Membership!$C$12*Membership!$C$15+Membership!$D$4*Membership!$D$11*Membership!$D$12*Membership!$D$15+Membership!$E$13*Membership!$E$15+Membership!$F$13*Membership!$F$15)*'Unrestricted Revenue'!T22</f>
        <v>0</v>
      </c>
      <c r="D5" s="116">
        <f>'Unrestricted Revenue'!U34+SUM(Membership!$C$4*Membership!$C$11*Membership!$C$12*Membership!$C$15+Membership!$D$4*Membership!$D$11*Membership!$D$12*Membership!$D$15+Membership!$E$13*Membership!$E$15+Membership!$F$13*Membership!$F$15)*'Unrestricted Revenue'!U22</f>
        <v>0</v>
      </c>
      <c r="E5" s="116">
        <f t="shared" si="0"/>
        <v>0</v>
      </c>
    </row>
    <row r="6" spans="1:5" ht="12.75">
      <c r="A6" s="1" t="str">
        <f>'Chart of Accounts'!B6</f>
        <v>Appeals</v>
      </c>
      <c r="B6" s="116">
        <f>'Unrestricted Revenue'!S35+SUM(Membership!$C$27*Membership!$C$29+Membership!$D$27*Membership!$D$29+Membership!$E$27*Membership!$E$29+Membership!$F$27*Membership!$F$29)*'Unrestricted Revenue'!S22</f>
        <v>0</v>
      </c>
      <c r="C6" s="116">
        <f>'Unrestricted Revenue'!T35+SUM(Membership!$C$27*Membership!$C$29+Membership!$D$27*Membership!$D$29+Membership!$E$27*Membership!$E$29+Membership!$F$27*Membership!$F$29)*'Unrestricted Revenue'!T22</f>
        <v>0</v>
      </c>
      <c r="D6" s="116">
        <f>'Unrestricted Revenue'!U35+SUM(Membership!$C$27*Membership!$C$29+Membership!$D$27*Membership!$D$29+Membership!$E$27*Membership!$E$29+Membership!$F$27*Membership!$F$29)*'Unrestricted Revenue'!U22</f>
        <v>0</v>
      </c>
      <c r="E6" s="116">
        <f t="shared" si="0"/>
        <v>0</v>
      </c>
    </row>
    <row r="7" spans="1:5" ht="12.75">
      <c r="A7" s="1" t="str">
        <f>'Chart of Accounts'!B7</f>
        <v>Monthly Giving</v>
      </c>
      <c r="B7" s="116">
        <f>(DSUM(Revenue,'Revenue Projects'!$D$2,'Unrestricted Revenue'!$D$49:$E$66)+DSUM(Revenue,'Revenue Projects'!$D$2,'Unrestricted Revenue'!$D$68:$E$69)*12)*'Unrestricted Revenue'!S22</f>
        <v>0</v>
      </c>
      <c r="C7" s="116">
        <f>(DSUM(Revenue,'Revenue Projects'!$D$2,'Unrestricted Revenue'!$D$49:$E$66)+DSUM(Revenue,'Revenue Projects'!$D$2,'Unrestricted Revenue'!$D$68:$E$69)*12)*'Unrestricted Revenue'!T22</f>
        <v>0</v>
      </c>
      <c r="D7" s="116">
        <f>(DSUM(Revenue,'Revenue Projects'!$D$2,'Unrestricted Revenue'!$D$49:$E$66)+DSUM(Revenue,'Revenue Projects'!$D$2,'Unrestricted Revenue'!$D$68:$E$69)*12)*'Unrestricted Revenue'!U22</f>
        <v>0</v>
      </c>
      <c r="E7" s="116">
        <f t="shared" si="0"/>
        <v>0</v>
      </c>
    </row>
    <row r="8" spans="1:5" ht="12.75">
      <c r="A8" s="1" t="str">
        <f>'Chart of Accounts'!B9</f>
        <v>Major Donors</v>
      </c>
      <c r="B8" s="116">
        <f>DSUM(MajorDonors,'Major Donors'!$D$2,B1:B2)+'Unrestricted Revenue'!S37</f>
        <v>25000</v>
      </c>
      <c r="C8" s="116">
        <f>DSUM(MajorDonors,'Major Donors'!$D$2,C1:C2)+'Unrestricted Revenue'!T37</f>
        <v>0</v>
      </c>
      <c r="D8" s="116">
        <f>DSUM(MajorDonors,'Major Donors'!$D$2,D1:D2)+'Unrestricted Revenue'!U37</f>
        <v>0</v>
      </c>
      <c r="E8" s="116">
        <f t="shared" si="0"/>
        <v>25000</v>
      </c>
    </row>
    <row r="9" spans="1:5" ht="12.75">
      <c r="A9" s="1" t="str">
        <f>'Chart of Accounts'!B11</f>
        <v>Workplace Giving</v>
      </c>
      <c r="B9" s="116">
        <f>(DSUM(Revenue,'Revenue Projects'!$E$2,'Unrestricted Revenue'!$D$49:$E$66)+DSUM(Revenue,'Revenue Projects'!$E$2,'Unrestricted Revenue'!$D$68:$E$69)*12)*'Unrestricted Revenue'!S24</f>
        <v>0</v>
      </c>
      <c r="C9" s="116">
        <f>(DSUM(Revenue,'Revenue Projects'!$E$2,'Unrestricted Revenue'!$D$49:$E$66)+DSUM(Revenue,'Revenue Projects'!$E$2,'Unrestricted Revenue'!$D$68:$E$69)*12)*'Unrestricted Revenue'!T24</f>
        <v>0</v>
      </c>
      <c r="D9" s="116">
        <f>(DSUM(Revenue,'Revenue Projects'!$E$2,'Unrestricted Revenue'!$D$49:$E$66)+DSUM(Revenue,'Revenue Projects'!$E$2,'Unrestricted Revenue'!$D$68:$E$69)*12)*'Unrestricted Revenue'!U24</f>
        <v>0</v>
      </c>
      <c r="E9" s="116">
        <f t="shared" si="0"/>
        <v>0</v>
      </c>
    </row>
    <row r="10" spans="1:5" ht="12.75">
      <c r="A10" s="1" t="str">
        <f>'Chart of Accounts'!B13</f>
        <v>Grants</v>
      </c>
      <c r="B10" s="116">
        <f>DSUM(Grants,Grants!$E$10,B1:B2)+'Unrestricted Revenue'!S39</f>
        <v>12000</v>
      </c>
      <c r="C10" s="116">
        <f>DSUM(Grants,Grants!$E$10,C1:C2)+'Unrestricted Revenue'!T39</f>
        <v>0</v>
      </c>
      <c r="D10" s="116">
        <f>DSUM(Grants,Grants!$E$10,D1:D2)+'Unrestricted Revenue'!U39</f>
        <v>0</v>
      </c>
      <c r="E10" s="116">
        <f t="shared" si="0"/>
        <v>12000</v>
      </c>
    </row>
    <row r="11" spans="1:5" ht="13.5" thickBot="1">
      <c r="A11" s="1" t="str">
        <f>'Chart of Accounts'!B15</f>
        <v>Other Income</v>
      </c>
      <c r="B11" s="13">
        <f>SUM('Unrestricted Revenue'!S29:S32)+SUM('Unrestricted Revenue'!$Q$44:$T$44)*'Unrestricted Revenue'!S14+SUM('Unrestricted Revenue'!$Q$45:$T$45)*'Unrestricted Revenue'!S15+SUM('Unrestricted Revenue'!$Q$46:$T$46)*'Unrestricted Revenue'!S18+SUM('Unrestricted Revenue'!$Q$47:$T$47)*'Unrestricted Revenue'!S19+DSUM(Revenue,'Revenue Projects'!$F$2,'Unrestricted Revenue'!$D$49:$E$66)*'Unrestricted Revenue'!S26+'Unrestricted Revenue'!S26*DSUM(Revenue,'Revenue Projects'!$F$2,'Unrestricted Revenue'!$D$68:$E$69)*12</f>
        <v>0</v>
      </c>
      <c r="C11" s="13">
        <f>SUM('Unrestricted Revenue'!T29:T32)+SUM('Unrestricted Revenue'!$Q$44:$T$44)*'Unrestricted Revenue'!T14+SUM('Unrestricted Revenue'!$Q$45:$T$45)*'Unrestricted Revenue'!T15+SUM('Unrestricted Revenue'!$Q$46:$T$46)*'Unrestricted Revenue'!T18+SUM('Unrestricted Revenue'!$Q$47:$T$47)*'Unrestricted Revenue'!T19+DSUM(Revenue,'Revenue Projects'!$F$2,'Unrestricted Revenue'!$D$49:$E$66)*'Unrestricted Revenue'!T26+'Unrestricted Revenue'!T26*DSUM(Revenue,'Revenue Projects'!$F$2,'Unrestricted Revenue'!$D$68:$E$69)*12</f>
        <v>0</v>
      </c>
      <c r="D11" s="13">
        <f>SUM('Unrestricted Revenue'!U29:U32)+SUM('Unrestricted Revenue'!$Q$44:$T$44)*'Unrestricted Revenue'!U14+SUM('Unrestricted Revenue'!$Q$45:$T$45)*'Unrestricted Revenue'!U15+SUM('Unrestricted Revenue'!$Q$46:$T$46)*'Unrestricted Revenue'!U18+SUM('Unrestricted Revenue'!$Q$47:$T$47)*'Unrestricted Revenue'!U19+DSUM(Revenue,'Revenue Projects'!$F$2,'Unrestricted Revenue'!$D$49:$E$66)*'Unrestricted Revenue'!U26+'Unrestricted Revenue'!U26*DSUM(Revenue,'Revenue Projects'!$F$2,'Unrestricted Revenue'!$D$68:$E$69)*12</f>
        <v>0</v>
      </c>
      <c r="E11" s="13">
        <f t="shared" si="0"/>
        <v>0</v>
      </c>
    </row>
    <row r="12" spans="1:5" ht="15">
      <c r="A12" s="7" t="s">
        <v>160</v>
      </c>
      <c r="B12" s="224">
        <f>SUM(B4:B11)</f>
        <v>37000</v>
      </c>
      <c r="C12" s="222">
        <f>SUM(C4:C11)</f>
        <v>0</v>
      </c>
      <c r="D12" s="222">
        <f>SUM(D4:D11)</f>
        <v>0</v>
      </c>
      <c r="E12" s="222">
        <f t="shared" si="0"/>
        <v>37000</v>
      </c>
    </row>
    <row r="13" spans="2:4" ht="12.75">
      <c r="B13" s="82"/>
      <c r="C13" s="82"/>
      <c r="D13" s="82"/>
    </row>
    <row r="14" ht="12.75">
      <c r="A14" s="175" t="s">
        <v>29</v>
      </c>
    </row>
    <row r="15" spans="1:5" ht="12.75">
      <c r="A15" s="1" t="str">
        <f>'Chart of Accounts'!$C$4</f>
        <v>Salaries</v>
      </c>
      <c r="B15" s="225"/>
      <c r="C15" s="225"/>
      <c r="D15" s="225"/>
      <c r="E15" s="225">
        <f aca="true" t="shared" si="1" ref="E15:E20">SUM(B15:D15)</f>
        <v>0</v>
      </c>
    </row>
    <row r="16" spans="1:5" ht="12.75">
      <c r="A16" s="1" t="str">
        <f>'Chart of Accounts'!$C$5</f>
        <v>Taxes</v>
      </c>
      <c r="B16" s="163"/>
      <c r="C16" s="163"/>
      <c r="D16" s="163"/>
      <c r="E16" s="163">
        <f t="shared" si="1"/>
        <v>0</v>
      </c>
    </row>
    <row r="17" spans="1:5" ht="12.75">
      <c r="A17" s="1" t="str">
        <f>'Chart of Accounts'!$C$6</f>
        <v>Benefits</v>
      </c>
      <c r="B17" s="163"/>
      <c r="C17" s="163"/>
      <c r="D17" s="163"/>
      <c r="E17" s="163">
        <f t="shared" si="1"/>
        <v>0</v>
      </c>
    </row>
    <row r="18" spans="1:5" ht="12.75">
      <c r="A18" s="1" t="str">
        <f>'Chart of Accounts'!$C$7</f>
        <v>Temps.</v>
      </c>
      <c r="B18" s="163"/>
      <c r="C18" s="163"/>
      <c r="D18" s="163"/>
      <c r="E18" s="163">
        <f t="shared" si="1"/>
        <v>0</v>
      </c>
    </row>
    <row r="19" spans="1:5" ht="13.5" thickBot="1">
      <c r="A19" s="1" t="str">
        <f>'Chart of Accounts'!$C$8</f>
        <v>Hiring Costs</v>
      </c>
      <c r="B19" s="226"/>
      <c r="C19" s="226"/>
      <c r="D19" s="226"/>
      <c r="E19" s="226">
        <f t="shared" si="1"/>
        <v>0</v>
      </c>
    </row>
    <row r="20" spans="1:5" ht="12.75">
      <c r="A20" s="176" t="str">
        <f>'Chart of Accounts'!C3</f>
        <v>Salaries, Taxes, and Benefits</v>
      </c>
      <c r="B20" s="163">
        <f>SUM(B15:B19)</f>
        <v>0</v>
      </c>
      <c r="C20" s="163">
        <f>SUM(C15:C19)</f>
        <v>0</v>
      </c>
      <c r="D20" s="163">
        <f>SUM(D15:D19)</f>
        <v>0</v>
      </c>
      <c r="E20" s="163">
        <f t="shared" si="1"/>
        <v>0</v>
      </c>
    </row>
    <row r="21" spans="2:5" ht="12.75">
      <c r="B21" s="163"/>
      <c r="C21" s="163"/>
      <c r="D21" s="163"/>
      <c r="E21" s="116"/>
    </row>
    <row r="22" spans="1:5" ht="12.75">
      <c r="A22" s="1" t="str">
        <f>'Chart of Accounts'!$C$11</f>
        <v>Account.</v>
      </c>
      <c r="B22" s="163"/>
      <c r="C22" s="163"/>
      <c r="D22" s="163"/>
      <c r="E22" s="163">
        <f aca="true" t="shared" si="2" ref="E22:E27">SUM(B22:D22)</f>
        <v>0</v>
      </c>
    </row>
    <row r="23" spans="1:5" ht="12.75">
      <c r="A23" s="1" t="str">
        <f>'Chart of Accounts'!$C$12</f>
        <v>Legal</v>
      </c>
      <c r="B23" s="163">
        <f>DSUM(Capital,'Capital Projects'!$D$3,B1:B2)</f>
        <v>1500</v>
      </c>
      <c r="C23" s="163">
        <f>DSUM(Capital,'Capital Projects'!$D$3,C1:C2)</f>
        <v>1750</v>
      </c>
      <c r="D23" s="163">
        <f>DSUM(Capital,'Capital Projects'!$D$3,D1:D2)</f>
        <v>0</v>
      </c>
      <c r="E23" s="163">
        <f t="shared" si="2"/>
        <v>3250</v>
      </c>
    </row>
    <row r="24" spans="1:5" ht="12.75">
      <c r="A24" s="1" t="str">
        <f>'Chart of Accounts'!$C$13</f>
        <v>Mgmt.</v>
      </c>
      <c r="B24" s="163"/>
      <c r="C24" s="163"/>
      <c r="D24" s="163"/>
      <c r="E24" s="163">
        <f t="shared" si="2"/>
        <v>0</v>
      </c>
    </row>
    <row r="25" spans="1:5" ht="12.75">
      <c r="A25" s="1" t="str">
        <f>'Chart of Accounts'!$C$14</f>
        <v>Data Proc.</v>
      </c>
      <c r="B25" s="163"/>
      <c r="C25" s="163"/>
      <c r="D25" s="163"/>
      <c r="E25" s="163">
        <f t="shared" si="2"/>
        <v>0</v>
      </c>
    </row>
    <row r="26" spans="1:5" ht="12.75">
      <c r="A26" s="1" t="str">
        <f>'Chart of Accounts'!$C$15</f>
        <v>Acq. Services</v>
      </c>
      <c r="B26" s="163">
        <f>DSUM(Capital,'Capital Projects'!$E$3,B1:B2)</f>
        <v>0</v>
      </c>
      <c r="C26" s="163">
        <f>DSUM(Capital,'Capital Projects'!$E$3,C1:C2)</f>
        <v>0</v>
      </c>
      <c r="D26" s="163">
        <f>DSUM(Capital,'Capital Projects'!$E$3,D1:D2)</f>
        <v>0</v>
      </c>
      <c r="E26" s="163">
        <f t="shared" si="2"/>
        <v>0</v>
      </c>
    </row>
    <row r="27" spans="1:5" ht="13.5" thickBot="1">
      <c r="A27" s="1" t="str">
        <f>'Chart of Accounts'!$C$16</f>
        <v>Other PS</v>
      </c>
      <c r="B27" s="226">
        <f>DSUM(Capital,'Capital Projects'!$F$3,B1:B2)</f>
        <v>0</v>
      </c>
      <c r="C27" s="226">
        <f>DSUM(Capital,'Capital Projects'!$F$3,C1:C2)</f>
        <v>0</v>
      </c>
      <c r="D27" s="226">
        <f>DSUM(Capital,'Capital Projects'!$F$3,D1:D2)</f>
        <v>2000</v>
      </c>
      <c r="E27" s="226">
        <f t="shared" si="2"/>
        <v>2000</v>
      </c>
    </row>
    <row r="28" spans="1:5" ht="12.75">
      <c r="A28" s="176" t="str">
        <f>'Chart of Accounts'!C10</f>
        <v>Professional Services</v>
      </c>
      <c r="B28" s="163">
        <f>SUM(B22:B27)</f>
        <v>1500</v>
      </c>
      <c r="C28" s="163">
        <f>SUM(C22:C27)</f>
        <v>1750</v>
      </c>
      <c r="D28" s="163">
        <f>SUM(D22:D27)</f>
        <v>2000</v>
      </c>
      <c r="E28" s="163">
        <f>SUM(E22:E27)</f>
        <v>5250</v>
      </c>
    </row>
    <row r="29" spans="2:5" ht="12.75">
      <c r="B29" s="163"/>
      <c r="C29" s="163"/>
      <c r="D29" s="163"/>
      <c r="E29" s="163"/>
    </row>
    <row r="30" spans="1:5" ht="12.75">
      <c r="A30" s="1" t="str">
        <f>'Chart of Accounts'!$C$19</f>
        <v>Long Distance</v>
      </c>
      <c r="B30" s="163"/>
      <c r="C30" s="163"/>
      <c r="D30" s="163"/>
      <c r="E30" s="163">
        <f>SUM(B30:D30)</f>
        <v>0</v>
      </c>
    </row>
    <row r="31" spans="1:5" ht="13.5" thickBot="1">
      <c r="A31" s="1" t="str">
        <f>'Chart of Accounts'!$C$20</f>
        <v>Internet Access</v>
      </c>
      <c r="B31" s="226"/>
      <c r="C31" s="226"/>
      <c r="D31" s="226"/>
      <c r="E31" s="226">
        <f>SUM(B31:D31)</f>
        <v>0</v>
      </c>
    </row>
    <row r="32" spans="1:5" ht="12.75">
      <c r="A32" s="176" t="str">
        <f>'Chart of Accounts'!C18</f>
        <v>Telephone</v>
      </c>
      <c r="B32" s="163">
        <f>SUM(B30:B31)</f>
        <v>0</v>
      </c>
      <c r="C32" s="163">
        <f>SUM(C30:C31)</f>
        <v>0</v>
      </c>
      <c r="D32" s="163">
        <f>SUM(D30:D31)</f>
        <v>0</v>
      </c>
      <c r="E32" s="163">
        <f>SUM(E30:E31)</f>
        <v>0</v>
      </c>
    </row>
    <row r="33" spans="2:5" ht="12.75">
      <c r="B33" s="163"/>
      <c r="C33" s="163"/>
      <c r="D33" s="163"/>
      <c r="E33" s="163"/>
    </row>
    <row r="34" spans="1:5" ht="12.75">
      <c r="A34" s="1" t="str">
        <f>'Chart of Accounts'!$C$23</f>
        <v>Rent</v>
      </c>
      <c r="B34" s="163"/>
      <c r="C34" s="163"/>
      <c r="D34" s="163"/>
      <c r="E34" s="163">
        <f>SUM(B34:D34)</f>
        <v>0</v>
      </c>
    </row>
    <row r="35" spans="1:5" ht="12.75">
      <c r="A35" s="1" t="str">
        <f>'Chart of Accounts'!$C$24</f>
        <v>Repair/Maintenance</v>
      </c>
      <c r="B35" s="163"/>
      <c r="C35" s="163"/>
      <c r="D35" s="163"/>
      <c r="E35" s="163">
        <f>SUM(B35:D35)</f>
        <v>0</v>
      </c>
    </row>
    <row r="36" spans="1:5" ht="12.75">
      <c r="A36" s="1" t="str">
        <f>'Chart of Accounts'!$C$25</f>
        <v>Utilities</v>
      </c>
      <c r="B36" s="163"/>
      <c r="C36" s="163"/>
      <c r="D36" s="163"/>
      <c r="E36" s="163">
        <f>SUM(B36:D36)</f>
        <v>0</v>
      </c>
    </row>
    <row r="37" spans="1:5" ht="13.5" thickBot="1">
      <c r="A37" s="1" t="str">
        <f>'Chart of Accounts'!$C$26</f>
        <v>Room Rentals</v>
      </c>
      <c r="B37" s="226"/>
      <c r="C37" s="226"/>
      <c r="D37" s="226"/>
      <c r="E37" s="226">
        <f>SUM(B37:D37)</f>
        <v>0</v>
      </c>
    </row>
    <row r="38" spans="1:5" ht="12.75">
      <c r="A38" s="176" t="str">
        <f>'Chart of Accounts'!C22</f>
        <v>Occupancy</v>
      </c>
      <c r="B38" s="163">
        <f>SUM(B34:B37)</f>
        <v>0</v>
      </c>
      <c r="C38" s="163">
        <f>SUM(C34:C37)</f>
        <v>0</v>
      </c>
      <c r="D38" s="163">
        <f>SUM(D34:D37)</f>
        <v>0</v>
      </c>
      <c r="E38" s="163">
        <f>SUM(E34:E37)</f>
        <v>0</v>
      </c>
    </row>
    <row r="39" spans="2:5" ht="12.75">
      <c r="B39" s="163"/>
      <c r="C39" s="163"/>
      <c r="D39" s="163"/>
      <c r="E39" s="163"/>
    </row>
    <row r="40" spans="1:5" ht="12.75">
      <c r="A40" s="1" t="str">
        <f>'Chart of Accounts'!$D$4</f>
        <v>Equipment Purchase</v>
      </c>
      <c r="B40" s="163"/>
      <c r="C40" s="163"/>
      <c r="D40" s="163"/>
      <c r="E40" s="163">
        <f>SUM(B40:D40)</f>
        <v>0</v>
      </c>
    </row>
    <row r="41" spans="1:5" ht="12.75">
      <c r="A41" s="1" t="str">
        <f>'Chart of Accounts'!$D$5</f>
        <v>Equipment Maintenance/Repair</v>
      </c>
      <c r="B41" s="163"/>
      <c r="C41" s="163"/>
      <c r="D41" s="163"/>
      <c r="E41" s="163">
        <f>SUM(B41:D41)</f>
        <v>0</v>
      </c>
    </row>
    <row r="42" spans="1:5" ht="13.5" thickBot="1">
      <c r="A42" s="1" t="str">
        <f>'Chart of Accounts'!$D$6</f>
        <v>Depreciation</v>
      </c>
      <c r="B42" s="226"/>
      <c r="C42" s="226"/>
      <c r="D42" s="226"/>
      <c r="E42" s="226">
        <f>SUM(B42:D42)</f>
        <v>0</v>
      </c>
    </row>
    <row r="43" spans="1:5" ht="12.75">
      <c r="A43" s="176" t="str">
        <f>'Chart of Accounts'!D3</f>
        <v>Equipment</v>
      </c>
      <c r="B43" s="163">
        <f>SUM(B40:B42)</f>
        <v>0</v>
      </c>
      <c r="C43" s="163">
        <f>SUM(C40:C42)</f>
        <v>0</v>
      </c>
      <c r="D43" s="163">
        <f>SUM(D40:D42)</f>
        <v>0</v>
      </c>
      <c r="E43" s="259">
        <f>SUM(E40:E42)</f>
        <v>0</v>
      </c>
    </row>
    <row r="44" spans="2:5" ht="12.75">
      <c r="B44" s="163"/>
      <c r="C44" s="163"/>
      <c r="D44" s="163"/>
      <c r="E44" s="163"/>
    </row>
    <row r="45" spans="1:5" ht="12.75">
      <c r="A45" s="1" t="str">
        <f>'Chart of Accounts'!$D$9</f>
        <v>Supplies </v>
      </c>
      <c r="B45" s="163">
        <f>DSUM(Capital,'Capital Projects'!$G$3,B1:B2)</f>
        <v>0</v>
      </c>
      <c r="C45" s="163">
        <f>DSUM(Capital,'Capital Projects'!$G$3,C1:C2)</f>
        <v>0</v>
      </c>
      <c r="D45" s="163">
        <f>DSUM(Capital,'Capital Projects'!$G$3,D1:D2)</f>
        <v>0</v>
      </c>
      <c r="E45" s="163">
        <f>SUM(B45:D45)</f>
        <v>0</v>
      </c>
    </row>
    <row r="46" spans="1:5" ht="12.75">
      <c r="A46" s="1" t="str">
        <f>'Chart of Accounts'!$D$10</f>
        <v>Insurance</v>
      </c>
      <c r="B46" s="163"/>
      <c r="C46" s="163"/>
      <c r="D46" s="163"/>
      <c r="E46" s="163">
        <f>SUM(B46:D46)</f>
        <v>0</v>
      </c>
    </row>
    <row r="47" spans="1:5" ht="12.75">
      <c r="A47" s="1" t="str">
        <f>'Chart of Accounts'!$D$11</f>
        <v>Food</v>
      </c>
      <c r="B47" s="163"/>
      <c r="C47" s="163"/>
      <c r="D47" s="163"/>
      <c r="E47" s="163">
        <f>SUM(B47:D47)</f>
        <v>0</v>
      </c>
    </row>
    <row r="48" spans="1:5" ht="12.75">
      <c r="A48" s="1" t="str">
        <f>'Chart of Accounts'!$D$12</f>
        <v>Misc. Exp.</v>
      </c>
      <c r="B48" s="163">
        <f>DSUM(Capital,'Capital Projects'!$H$3,B1:B2)</f>
        <v>0</v>
      </c>
      <c r="C48" s="163">
        <f>DSUM(Capital,'Capital Projects'!$H$3,C1:C2)</f>
        <v>0</v>
      </c>
      <c r="D48" s="163">
        <f>DSUM(Capital,'Capital Projects'!$H$3,D1:D2)</f>
        <v>0</v>
      </c>
      <c r="E48" s="163">
        <f>SUM(B48:D48)</f>
        <v>0</v>
      </c>
    </row>
    <row r="49" spans="1:5" ht="13.5" thickBot="1">
      <c r="A49" s="1" t="str">
        <f>'Chart of Accounts'!$D$13</f>
        <v>Fees</v>
      </c>
      <c r="B49" s="226">
        <f>DSUM(Capital,'Capital Projects'!$I$3,B1:B2)</f>
        <v>0</v>
      </c>
      <c r="C49" s="226">
        <f>DSUM(Capital,'Capital Projects'!$I$3,C1:C2)</f>
        <v>0</v>
      </c>
      <c r="D49" s="226">
        <f>DSUM(Capital,'Capital Projects'!$I$3,D1:D2)</f>
        <v>0</v>
      </c>
      <c r="E49" s="226">
        <f>SUM(B49:D49)</f>
        <v>0</v>
      </c>
    </row>
    <row r="50" spans="1:5" ht="12.75">
      <c r="A50" s="176" t="str">
        <f>'Chart of Accounts'!D8</f>
        <v>General  / Misc.</v>
      </c>
      <c r="B50" s="163">
        <f>SUM(B45:B49)</f>
        <v>0</v>
      </c>
      <c r="C50" s="163">
        <f>SUM(C45:C49)</f>
        <v>0</v>
      </c>
      <c r="D50" s="163">
        <f>SUM(D45:D49)</f>
        <v>0</v>
      </c>
      <c r="E50" s="163">
        <f>SUM(E45:E49)</f>
        <v>0</v>
      </c>
    </row>
    <row r="51" spans="1:5" ht="12.75">
      <c r="A51" s="3"/>
      <c r="B51" s="163"/>
      <c r="C51" s="163"/>
      <c r="D51" s="163"/>
      <c r="E51" s="163"/>
    </row>
    <row r="52" spans="1:5" ht="12.75">
      <c r="A52" s="177" t="str">
        <f>'Chart of Accounts'!D16</f>
        <v>Postage</v>
      </c>
      <c r="B52" s="163"/>
      <c r="C52" s="163"/>
      <c r="D52" s="163"/>
      <c r="E52" s="163">
        <f>SUM(B52:D52)</f>
        <v>0</v>
      </c>
    </row>
    <row r="53" spans="2:5" ht="12.75">
      <c r="B53" s="163"/>
      <c r="C53" s="163"/>
      <c r="D53" s="163"/>
      <c r="E53" s="163"/>
    </row>
    <row r="54" spans="1:5" ht="12.75">
      <c r="A54" s="176" t="str">
        <f>'Chart of Accounts'!D18</f>
        <v>Travel</v>
      </c>
      <c r="B54" s="163">
        <f>DSUM(Capital,'Capital Projects'!$J$3,B1:B2)</f>
        <v>0</v>
      </c>
      <c r="C54" s="163">
        <f>DSUM(Capital,'Capital Projects'!$J$3,C1:C2)</f>
        <v>0</v>
      </c>
      <c r="D54" s="163">
        <f>DSUM(Capital,'Capital Projects'!$J$3,D1:D2)</f>
        <v>0</v>
      </c>
      <c r="E54" s="163">
        <f>SUM(B54:D54)</f>
        <v>0</v>
      </c>
    </row>
    <row r="55" spans="1:5" ht="12.75">
      <c r="A55" s="3"/>
      <c r="B55" s="163"/>
      <c r="C55" s="163"/>
      <c r="D55" s="163"/>
      <c r="E55" s="163"/>
    </row>
    <row r="56" spans="1:5" ht="12.75">
      <c r="A56" s="1" t="str">
        <f>'Chart of Accounts'!$D$21</f>
        <v>Printing</v>
      </c>
      <c r="B56" s="163"/>
      <c r="C56" s="163"/>
      <c r="D56" s="163"/>
      <c r="E56" s="163">
        <f>SUM(B56:D56)</f>
        <v>0</v>
      </c>
    </row>
    <row r="57" spans="1:5" ht="12.75">
      <c r="A57" s="1" t="str">
        <f>'Chart of Accounts'!$D$22</f>
        <v>Media </v>
      </c>
      <c r="B57" s="163"/>
      <c r="C57" s="163"/>
      <c r="D57" s="163"/>
      <c r="E57" s="163">
        <f>SUM(B57:D57)</f>
        <v>0</v>
      </c>
    </row>
    <row r="58" spans="1:5" ht="12.75">
      <c r="A58" s="1" t="str">
        <f>'Chart of Accounts'!$D$23</f>
        <v>Conf./Training</v>
      </c>
      <c r="B58" s="163"/>
      <c r="C58" s="163"/>
      <c r="D58" s="163"/>
      <c r="E58" s="163">
        <f>SUM(B58:D58)</f>
        <v>0</v>
      </c>
    </row>
    <row r="59" spans="1:5" ht="13.5" thickBot="1">
      <c r="A59" s="1" t="str">
        <f>'Chart of Accounts'!$D$24</f>
        <v>Property Acq.</v>
      </c>
      <c r="B59" s="226">
        <f>DSUM(Capital,'Capital Projects'!$K$3,B1:B2)</f>
        <v>0</v>
      </c>
      <c r="C59" s="226">
        <f>DSUM(Capital,'Capital Projects'!$K$3,C1:C2)</f>
        <v>0</v>
      </c>
      <c r="D59" s="226">
        <f>DSUM(Capital,'Capital Projects'!$K$3,D1:D2)</f>
        <v>50000</v>
      </c>
      <c r="E59" s="226">
        <f>SUM(B59:D59)</f>
        <v>50000</v>
      </c>
    </row>
    <row r="60" spans="1:5" ht="12.75">
      <c r="A60" s="176" t="str">
        <f>'Chart of Accounts'!D20</f>
        <v>Project Expenses</v>
      </c>
      <c r="B60" s="163">
        <f>SUM(B56:B59)</f>
        <v>0</v>
      </c>
      <c r="C60" s="163">
        <f>SUM(C56:C59)</f>
        <v>0</v>
      </c>
      <c r="D60" s="163">
        <f>SUM(D56:D59)</f>
        <v>50000</v>
      </c>
      <c r="E60" s="163">
        <f>SUM(E56:E59)</f>
        <v>50000</v>
      </c>
    </row>
    <row r="61" spans="2:4" ht="12.75">
      <c r="B61" s="49"/>
      <c r="C61" s="49"/>
      <c r="D61" s="49"/>
    </row>
    <row r="62" spans="1:5" ht="15">
      <c r="A62" s="7" t="s">
        <v>44</v>
      </c>
      <c r="B62" s="222">
        <f>B20+B28+B32+B38++B43+B50+B52+B54+B60</f>
        <v>1500</v>
      </c>
      <c r="C62" s="222">
        <f>C20+C28+C32+C38++C43+C50+C52+C54+C60</f>
        <v>1750</v>
      </c>
      <c r="D62" s="222">
        <f>D20+D28+D32+D38++D43+D50+D52+D54+D60</f>
        <v>52000</v>
      </c>
      <c r="E62" s="222">
        <f>E20+E28+E32+E38++E43+E50+E52+E54+E60</f>
        <v>55250</v>
      </c>
    </row>
    <row r="64" spans="1:5" ht="15">
      <c r="A64" s="7" t="s">
        <v>161</v>
      </c>
      <c r="B64" s="227">
        <f>B12-B62</f>
        <v>35500</v>
      </c>
      <c r="C64" s="227">
        <f>C12-C62</f>
        <v>-1750</v>
      </c>
      <c r="D64" s="227">
        <f>D12-D62</f>
        <v>-52000</v>
      </c>
      <c r="E64" s="227">
        <f>E12-E62</f>
        <v>-18250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portrait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83"/>
  <sheetViews>
    <sheetView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4" width="15.7109375" style="1" customWidth="1"/>
    <col min="5" max="5" width="13.140625" style="1" customWidth="1"/>
    <col min="6" max="6" width="11.28125" style="1" customWidth="1"/>
    <col min="7" max="16384" width="9.140625" style="1" customWidth="1"/>
  </cols>
  <sheetData>
    <row r="1" spans="1:4" ht="12.75">
      <c r="A1" s="7" t="str">
        <f>'Chart of Accounts'!A2</f>
        <v>Conservation</v>
      </c>
      <c r="B1" s="251" t="s">
        <v>153</v>
      </c>
      <c r="C1" s="251" t="s">
        <v>153</v>
      </c>
      <c r="D1" s="251" t="s">
        <v>153</v>
      </c>
    </row>
    <row r="2" spans="2:5" ht="12.75">
      <c r="B2" s="253" t="str">
        <f>'Chart of Accounts'!$A$9</f>
        <v>Protection</v>
      </c>
      <c r="C2" s="253" t="str">
        <f>'Chart of Accounts'!$A$10</f>
        <v>Stewardship</v>
      </c>
      <c r="D2" s="253" t="str">
        <f>'Chart of Accounts'!$A$11</f>
        <v>Monitoring</v>
      </c>
      <c r="E2" s="17" t="s">
        <v>46</v>
      </c>
    </row>
    <row r="3" spans="1:4" ht="12.75">
      <c r="A3" s="7" t="s">
        <v>27</v>
      </c>
      <c r="B3" s="80"/>
      <c r="C3" s="80"/>
      <c r="D3" s="80"/>
    </row>
    <row r="4" spans="1:5" ht="12.75">
      <c r="A4" s="1" t="str">
        <f>'Chart of Accounts'!B4</f>
        <v>New Members</v>
      </c>
      <c r="B4" s="188">
        <f>'Unrestricted Revenue'!D33</f>
        <v>0</v>
      </c>
      <c r="C4" s="188">
        <f>'Unrestricted Revenue'!E33</f>
        <v>9000</v>
      </c>
      <c r="D4" s="188">
        <f>'Unrestricted Revenue'!F33</f>
        <v>0</v>
      </c>
      <c r="E4" s="188">
        <f>SUM(B4:D4)</f>
        <v>9000</v>
      </c>
    </row>
    <row r="5" spans="1:5" ht="12.75">
      <c r="A5" s="1" t="str">
        <f>'Chart of Accounts'!B5</f>
        <v>Renewals</v>
      </c>
      <c r="B5" s="116">
        <f>'Unrestricted Revenue'!D34</f>
        <v>0</v>
      </c>
      <c r="C5" s="116">
        <f>'Unrestricted Revenue'!E34</f>
        <v>22500</v>
      </c>
      <c r="D5" s="116">
        <f>'Unrestricted Revenue'!F34</f>
        <v>0</v>
      </c>
      <c r="E5" s="116">
        <f aca="true" t="shared" si="0" ref="E5:E12">SUM(B5:D5)</f>
        <v>22500</v>
      </c>
    </row>
    <row r="6" spans="1:5" ht="12.75">
      <c r="A6" s="1" t="str">
        <f>'Chart of Accounts'!B6</f>
        <v>Appeals</v>
      </c>
      <c r="B6" s="116">
        <f>'Unrestricted Revenue'!D35</f>
        <v>0</v>
      </c>
      <c r="C6" s="116">
        <f>'Unrestricted Revenue'!E35</f>
        <v>4500</v>
      </c>
      <c r="D6" s="116">
        <f>'Unrestricted Revenue'!F35</f>
        <v>0</v>
      </c>
      <c r="E6" s="116">
        <f t="shared" si="0"/>
        <v>4500</v>
      </c>
    </row>
    <row r="7" spans="1:5" ht="12.75">
      <c r="A7" s="1" t="str">
        <f>'Chart of Accounts'!B7</f>
        <v>Monthly Giving</v>
      </c>
      <c r="B7" s="116">
        <f>'Unrestricted Revenue'!D36+DSUM(Revenue,'Revenue Projects'!$D$2,B68:C69)*12+DSUM(Revenue,'Revenue Projects'!$D$2,D68:E81)</f>
        <v>0</v>
      </c>
      <c r="C7" s="116">
        <f>'Unrestricted Revenue'!E36+DSUM(Revenue,'Revenue Projects'!$D$2,B71:C72)*12+DSUM(Revenue,'Revenue Projects'!$D$2,F68:G81)</f>
        <v>2160</v>
      </c>
      <c r="D7" s="116">
        <f>'Unrestricted Revenue'!F36+DSUM(Revenue,'Revenue Projects'!$D$2,B74:C75)*12+DSUM(Revenue,'Revenue Projects'!$D$2,H68:I81)</f>
        <v>0</v>
      </c>
      <c r="E7" s="116">
        <f t="shared" si="0"/>
        <v>2160</v>
      </c>
    </row>
    <row r="8" spans="1:5" ht="12.75">
      <c r="A8" s="1" t="str">
        <f>'Chart of Accounts'!B9</f>
        <v>Major Donors</v>
      </c>
      <c r="B8" s="116">
        <f>DSUM(MajorDonors,'Major Donors'!$D$2,B68:C69)*12+DSUM(MajorDonors,'Major Donors'!$D$2,D68:E81)+'Unrestricted Revenue'!D37</f>
        <v>53000</v>
      </c>
      <c r="C8" s="116">
        <f>DSUM(MajorDonors,'Major Donors'!$D$2,B71:C72)*12+DSUM(MajorDonors,'Major Donors'!$D$2,F68:G81)+'Unrestricted Revenue'!E37</f>
        <v>18000</v>
      </c>
      <c r="D8" s="116">
        <f>DSUM(MajorDonors,'Major Donors'!$D$2,B74:C75)*12+DSUM(MajorDonors,'Major Donors'!$D$2,H68:I81)+'Unrestricted Revenue'!F37</f>
        <v>0</v>
      </c>
      <c r="E8" s="116">
        <f t="shared" si="0"/>
        <v>71000</v>
      </c>
    </row>
    <row r="9" spans="1:5" ht="12.75">
      <c r="A9" s="1" t="str">
        <f>'Chart of Accounts'!B11</f>
        <v>Workplace Giving</v>
      </c>
      <c r="B9" s="116">
        <f>'Unrestricted Revenue'!D38+DSUM(Revenue,'Revenue Projects'!$E$2,B68:C69)*12+DSUM(Revenue,'Revenue Projects'!$E$2,D68:E81)</f>
        <v>3000</v>
      </c>
      <c r="C9" s="116">
        <f>'Unrestricted Revenue'!E38+DSUM(Revenue,'Revenue Projects'!$E$2,B71:C72)*12+DSUM(Revenue,'Revenue Projects'!$E$2,F68:G81)</f>
        <v>0</v>
      </c>
      <c r="D9" s="116">
        <f>'Unrestricted Revenue'!F38+DSUM(Revenue,'Revenue Projects'!$E$2,B74:C75)*12+DSUM(Revenue,'Revenue Projects'!$E$2,H68:I81)</f>
        <v>0</v>
      </c>
      <c r="E9" s="116">
        <f t="shared" si="0"/>
        <v>3000</v>
      </c>
    </row>
    <row r="10" spans="1:5" ht="12.75">
      <c r="A10" s="1" t="str">
        <f>'Chart of Accounts'!B13</f>
        <v>Grants</v>
      </c>
      <c r="B10" s="116">
        <f>DSUM(Grants,Grants!$E$10,B68:C69)*12+DSUM(Grants,Grants!$E$10,D68:E81)+'Unrestricted Revenue'!D39</f>
        <v>10000</v>
      </c>
      <c r="C10" s="116">
        <f>DSUM(Grants,Grants!$E$10,B71:C72)*12+DSUM(Grants,Grants!$E$10,F68:G81)+'Unrestricted Revenue'!E39</f>
        <v>64000</v>
      </c>
      <c r="D10" s="116">
        <f>DSUM(Grants,Grants!$E$10,B74:C75)*12+DSUM(Grants,Grants!$E$10,H68:I81)+'Unrestricted Revenue'!F39</f>
        <v>22500</v>
      </c>
      <c r="E10" s="116">
        <f t="shared" si="0"/>
        <v>96500</v>
      </c>
    </row>
    <row r="11" spans="1:5" ht="13.5" thickBot="1">
      <c r="A11" s="1" t="str">
        <f>'Chart of Accounts'!B15</f>
        <v>Other Income</v>
      </c>
      <c r="B11" s="13">
        <f>SUM('Unrestricted Revenue'!D29:D32)+'Unrestricted Revenue'!D40+DSUM(Revenue,'Revenue Projects'!$F$2,B68:C69)*12+DSUM(Revenue,'Revenue Projects'!$F$2,D68:E81)</f>
        <v>1500</v>
      </c>
      <c r="C11" s="13">
        <f>SUM('Unrestricted Revenue'!E29:E32)+'Unrestricted Revenue'!E40+DSUM(Revenue,'Revenue Projects'!$F$2,B71:C72)*12+DSUM(Revenue,'Revenue Projects'!$F$2,F68:G81)</f>
        <v>5250</v>
      </c>
      <c r="D11" s="13">
        <f>SUM('Unrestricted Revenue'!F29:F32)+'Unrestricted Revenue'!F40+DSUM(Revenue,'Revenue Projects'!$F$2,B74:C75)*12+DSUM(Revenue,'Revenue Projects'!$F$2,H68:I81)</f>
        <v>8250</v>
      </c>
      <c r="E11" s="13">
        <f t="shared" si="0"/>
        <v>15000</v>
      </c>
    </row>
    <row r="12" spans="1:5" ht="15">
      <c r="A12" s="7" t="s">
        <v>160</v>
      </c>
      <c r="B12" s="224">
        <f>SUM(B4:B11)</f>
        <v>67500</v>
      </c>
      <c r="C12" s="222">
        <f>SUM(C4:C11)</f>
        <v>125410</v>
      </c>
      <c r="D12" s="222">
        <f>SUM(D4:D11)</f>
        <v>30750</v>
      </c>
      <c r="E12" s="222">
        <f t="shared" si="0"/>
        <v>223660</v>
      </c>
    </row>
    <row r="13" spans="2:4" ht="12.75">
      <c r="B13" s="82"/>
      <c r="C13" s="82"/>
      <c r="D13" s="82"/>
    </row>
    <row r="14" ht="12.75">
      <c r="A14" s="175" t="s">
        <v>29</v>
      </c>
    </row>
    <row r="15" spans="1:5" ht="12.75">
      <c r="A15" s="1" t="str">
        <f>'Chart of Accounts'!$C$4</f>
        <v>Salaries</v>
      </c>
      <c r="B15" s="225">
        <f>'Staff Expenses'!B38</f>
        <v>29452.3125</v>
      </c>
      <c r="C15" s="225">
        <f>'Staff Expenses'!C38</f>
        <v>31980.7125</v>
      </c>
      <c r="D15" s="225">
        <f>'Staff Expenses'!D38</f>
        <v>37037.5125</v>
      </c>
      <c r="E15" s="225">
        <f aca="true" t="shared" si="1" ref="E15:E20">SUM(B15:D15)</f>
        <v>98470.5375</v>
      </c>
    </row>
    <row r="16" spans="1:5" ht="12.75">
      <c r="A16" s="1" t="str">
        <f>'Chart of Accounts'!$C$5</f>
        <v>Taxes</v>
      </c>
      <c r="B16" s="163">
        <f>'Staff Expenses'!B48</f>
        <v>3739.75875</v>
      </c>
      <c r="C16" s="163">
        <f>'Staff Expenses'!C48</f>
        <v>4060.8067499999997</v>
      </c>
      <c r="D16" s="163">
        <f>'Staff Expenses'!D48</f>
        <v>4702.902749999999</v>
      </c>
      <c r="E16" s="163">
        <f t="shared" si="1"/>
        <v>12503.468249999998</v>
      </c>
    </row>
    <row r="17" spans="1:5" ht="12.75">
      <c r="A17" s="1" t="str">
        <f>'Chart of Accounts'!$C$6</f>
        <v>Benefits</v>
      </c>
      <c r="B17" s="163">
        <f>'Staff Expenses'!B58</f>
        <v>1440</v>
      </c>
      <c r="C17" s="163">
        <f>'Staff Expenses'!C58</f>
        <v>1530</v>
      </c>
      <c r="D17" s="163">
        <f>'Staff Expenses'!D58</f>
        <v>1830</v>
      </c>
      <c r="E17" s="163">
        <f t="shared" si="1"/>
        <v>4800</v>
      </c>
    </row>
    <row r="18" spans="1:5" ht="12.75">
      <c r="A18" s="1" t="str">
        <f>'Chart of Accounts'!$C$7</f>
        <v>Temps.</v>
      </c>
      <c r="B18" s="163"/>
      <c r="C18" s="163"/>
      <c r="D18" s="163"/>
      <c r="E18" s="163">
        <f t="shared" si="1"/>
        <v>0</v>
      </c>
    </row>
    <row r="19" spans="1:5" ht="13.5" thickBot="1">
      <c r="A19" s="1" t="str">
        <f>'Chart of Accounts'!$C$8</f>
        <v>Hiring Costs</v>
      </c>
      <c r="B19" s="226"/>
      <c r="C19" s="226"/>
      <c r="D19" s="226"/>
      <c r="E19" s="226">
        <f t="shared" si="1"/>
        <v>0</v>
      </c>
    </row>
    <row r="20" spans="1:5" ht="12.75">
      <c r="A20" s="176" t="str">
        <f>'Chart of Accounts'!C3</f>
        <v>Salaries, Taxes, and Benefits</v>
      </c>
      <c r="B20" s="163">
        <f>SUM(B15:B19)</f>
        <v>34632.07125</v>
      </c>
      <c r="C20" s="163">
        <f>SUM(C15:C19)</f>
        <v>37571.51925</v>
      </c>
      <c r="D20" s="163">
        <f>SUM(D15:D19)</f>
        <v>43570.41525</v>
      </c>
      <c r="E20" s="163">
        <f t="shared" si="1"/>
        <v>115774.00574999998</v>
      </c>
    </row>
    <row r="21" spans="2:5" ht="12.75">
      <c r="B21" s="163"/>
      <c r="C21" s="163"/>
      <c r="D21" s="163"/>
      <c r="E21" s="116"/>
    </row>
    <row r="22" spans="1:5" ht="12.75">
      <c r="A22" s="1" t="str">
        <f>'Chart of Accounts'!$C$11</f>
        <v>Account.</v>
      </c>
      <c r="B22" s="163"/>
      <c r="C22" s="163"/>
      <c r="D22" s="163"/>
      <c r="E22" s="163">
        <f aca="true" t="shared" si="2" ref="E22:E27">SUM(B22:D22)</f>
        <v>0</v>
      </c>
    </row>
    <row r="23" spans="1:5" ht="12.75">
      <c r="A23" s="1" t="str">
        <f>'Chart of Accounts'!$C$12</f>
        <v>Legal</v>
      </c>
      <c r="B23" s="163">
        <f>DSUM(Conservation,'Conservation Projects'!$D$3,D68:E81)+12*DSUM(Conservation,'Conservation Projects'!$D$3,$B$68:$C$69)</f>
        <v>1500</v>
      </c>
      <c r="C23" s="163">
        <f>DSUM(Conservation,'Conservation Projects'!$D$3,F68:G81)+12*DSUM(Conservation,'Conservation Projects'!$D$3,$B$71:$C$72)</f>
        <v>2400</v>
      </c>
      <c r="D23" s="163">
        <f>DSUM(Conservation,'Conservation Projects'!$D$3,H68:I81)+12*DSUM(Conservation,'Conservation Projects'!$D$3,$B$74:$C$75)</f>
        <v>0</v>
      </c>
      <c r="E23" s="163">
        <f t="shared" si="2"/>
        <v>3900</v>
      </c>
    </row>
    <row r="24" spans="1:5" ht="12.75">
      <c r="A24" s="1" t="str">
        <f>'Chart of Accounts'!$C$13</f>
        <v>Mgmt.</v>
      </c>
      <c r="B24" s="163"/>
      <c r="C24" s="163"/>
      <c r="D24" s="163"/>
      <c r="E24" s="163">
        <f t="shared" si="2"/>
        <v>0</v>
      </c>
    </row>
    <row r="25" spans="1:5" ht="12.75">
      <c r="A25" s="1" t="str">
        <f>'Chart of Accounts'!$C$14</f>
        <v>Data Proc.</v>
      </c>
      <c r="B25" s="163">
        <f>DSUM(Conservation,'Conservation Projects'!E3,D68:E81)+12*DSUM(Conservation,'Conservation Projects'!E3,$B$68:$C$69)</f>
        <v>0</v>
      </c>
      <c r="C25" s="163">
        <f>DSUM(Conservation,'Conservation Projects'!E3,F68:G81)+12*DSUM(Conservation,'Conservation Projects'!E3,$B$71:$C$72)</f>
        <v>0</v>
      </c>
      <c r="D25" s="163">
        <f>DSUM(Conservation,'Conservation Projects'!E3,H68:I81)+12*DSUM(Conservation,'Conservation Projects'!E3,$B$74:$C$75)</f>
        <v>0</v>
      </c>
      <c r="E25" s="163">
        <f t="shared" si="2"/>
        <v>0</v>
      </c>
    </row>
    <row r="26" spans="1:5" ht="12.75">
      <c r="A26" s="1" t="str">
        <f>'Chart of Accounts'!$C$15</f>
        <v>Acq. Services</v>
      </c>
      <c r="B26" s="163"/>
      <c r="C26" s="163"/>
      <c r="D26" s="163"/>
      <c r="E26" s="163">
        <f t="shared" si="2"/>
        <v>0</v>
      </c>
    </row>
    <row r="27" spans="1:5" ht="13.5" thickBot="1">
      <c r="A27" s="1" t="str">
        <f>'Chart of Accounts'!$C$16</f>
        <v>Other PS</v>
      </c>
      <c r="B27" s="226">
        <f>DSUM(Conservation,'Conservation Projects'!F3,B68:E81)+12*DSUM(Conservation,'Conservation Projects'!F3,$B$68:$C$69)</f>
        <v>0</v>
      </c>
      <c r="C27" s="226">
        <f>DSUM(Conservation,'Conservation Projects'!F3,F68:G81)+12*DSUM(Conservation,'Conservation Projects'!F3,$B$71:$C$72)</f>
        <v>600</v>
      </c>
      <c r="D27" s="226">
        <f>DSUM(Conservation,'Conservation Projects'!F3,H68:I81)+12*DSUM(Conservation,'Conservation Projects'!F3,$B$74:$C$75)</f>
        <v>0</v>
      </c>
      <c r="E27" s="226">
        <f t="shared" si="2"/>
        <v>600</v>
      </c>
    </row>
    <row r="28" spans="1:5" ht="12.75">
      <c r="A28" s="176" t="str">
        <f>'Chart of Accounts'!C10</f>
        <v>Professional Services</v>
      </c>
      <c r="B28" s="163">
        <f>SUM(B22:B27)</f>
        <v>1500</v>
      </c>
      <c r="C28" s="163">
        <f>SUM(C22:C27)</f>
        <v>3000</v>
      </c>
      <c r="D28" s="163">
        <f>SUM(D22:D27)</f>
        <v>0</v>
      </c>
      <c r="E28" s="163">
        <f>SUM(E22:E27)</f>
        <v>4500</v>
      </c>
    </row>
    <row r="29" spans="2:5" ht="12.75">
      <c r="B29" s="163"/>
      <c r="C29" s="163"/>
      <c r="D29" s="163"/>
      <c r="E29" s="163"/>
    </row>
    <row r="30" spans="1:5" ht="12.75">
      <c r="A30" s="1" t="str">
        <f>'Chart of Accounts'!$C$19</f>
        <v>Long Distance</v>
      </c>
      <c r="B30" s="163">
        <f>'Shared &amp; Allocation'!B21*12</f>
        <v>190.06329484716247</v>
      </c>
      <c r="C30" s="163">
        <f>'Shared &amp; Allocation'!C21*12</f>
        <v>206.1951966291531</v>
      </c>
      <c r="D30" s="163">
        <f>'Shared &amp; Allocation'!D21*12</f>
        <v>239.1175688134464</v>
      </c>
      <c r="E30" s="163">
        <f>SUM(B30:D30)</f>
        <v>635.376060289762</v>
      </c>
    </row>
    <row r="31" spans="1:5" ht="13.5" thickBot="1">
      <c r="A31" s="1" t="str">
        <f>'Chart of Accounts'!$C$20</f>
        <v>Internet Access</v>
      </c>
      <c r="B31" s="226">
        <f>'Shared &amp; Allocation'!B22*12</f>
        <v>63.35443161572083</v>
      </c>
      <c r="C31" s="226">
        <f>'Shared &amp; Allocation'!C22*12</f>
        <v>68.7317322097177</v>
      </c>
      <c r="D31" s="226">
        <f>'Shared &amp; Allocation'!D22*12</f>
        <v>79.7058562711488</v>
      </c>
      <c r="E31" s="226">
        <f>SUM(B31:D31)</f>
        <v>211.79202009658732</v>
      </c>
    </row>
    <row r="32" spans="1:5" ht="12.75">
      <c r="A32" s="176" t="str">
        <f>'Chart of Accounts'!C18</f>
        <v>Telephone</v>
      </c>
      <c r="B32" s="163">
        <f>SUM(B30:B31)</f>
        <v>253.4177264628833</v>
      </c>
      <c r="C32" s="163">
        <f>SUM(C30:C31)</f>
        <v>274.9269288388708</v>
      </c>
      <c r="D32" s="163">
        <f>SUM(D30:D31)</f>
        <v>318.8234250845952</v>
      </c>
      <c r="E32" s="163">
        <f>SUM(E30:E31)</f>
        <v>847.1680803863493</v>
      </c>
    </row>
    <row r="33" spans="2:5" ht="12.75">
      <c r="B33" s="163"/>
      <c r="C33" s="163"/>
      <c r="D33" s="163"/>
      <c r="E33" s="163"/>
    </row>
    <row r="34" spans="1:5" ht="12.75">
      <c r="A34" s="1" t="str">
        <f>'Chart of Accounts'!$C$23</f>
        <v>Rent</v>
      </c>
      <c r="B34" s="163">
        <f>'Shared &amp; Allocation'!B23*12</f>
        <v>443.4810213100458</v>
      </c>
      <c r="C34" s="163">
        <f>'Shared &amp; Allocation'!C23*12</f>
        <v>481.1221254680239</v>
      </c>
      <c r="D34" s="163">
        <f>'Shared &amp; Allocation'!D23*12</f>
        <v>557.9409938980416</v>
      </c>
      <c r="E34" s="163">
        <f>SUM(B34:D34)</f>
        <v>1482.5441406761113</v>
      </c>
    </row>
    <row r="35" spans="1:5" ht="12.75">
      <c r="A35" s="1" t="str">
        <f>'Chart of Accounts'!$C$24</f>
        <v>Repair/Maintenance</v>
      </c>
      <c r="B35" s="163">
        <f>'Shared &amp; Allocation'!B24*12</f>
        <v>95.03164742358123</v>
      </c>
      <c r="C35" s="163">
        <f>'Shared &amp; Allocation'!C24*12</f>
        <v>103.09759831457654</v>
      </c>
      <c r="D35" s="163">
        <f>'Shared &amp; Allocation'!D24*12</f>
        <v>119.5587844067232</v>
      </c>
      <c r="E35" s="163">
        <f>SUM(B35:D35)</f>
        <v>317.688030144881</v>
      </c>
    </row>
    <row r="36" spans="1:5" ht="12.75">
      <c r="A36" s="1" t="str">
        <f>'Chart of Accounts'!$C$25</f>
        <v>Utilities</v>
      </c>
      <c r="B36" s="163">
        <f>'Shared &amp; Allocation'!B25*12</f>
        <v>126.70886323144165</v>
      </c>
      <c r="C36" s="163">
        <f>'Shared &amp; Allocation'!C25*12</f>
        <v>137.4634644194354</v>
      </c>
      <c r="D36" s="163">
        <f>'Shared &amp; Allocation'!D25*12</f>
        <v>159.4117125422976</v>
      </c>
      <c r="E36" s="163">
        <f>SUM(B36:D36)</f>
        <v>423.58404019317464</v>
      </c>
    </row>
    <row r="37" spans="1:5" ht="13.5" thickBot="1">
      <c r="A37" s="1" t="str">
        <f>'Chart of Accounts'!$C$26</f>
        <v>Room Rentals</v>
      </c>
      <c r="B37" s="226">
        <f>DSUM(Conservation,'Conservation Projects'!G3,D68:E81)+12*DSUM(Conservation,'Conservation Projects'!G3,$B$68:$C$69)</f>
        <v>0</v>
      </c>
      <c r="C37" s="226">
        <f>DSUM(Conservation,'Conservation Projects'!G3,F68:G81)+12*DSUM(Conservation,'Conservation Projects'!G3,$B$71:$C$72)</f>
        <v>0</v>
      </c>
      <c r="D37" s="226">
        <f>DSUM(Conservation,'Conservation Projects'!G3,H68:I81)+12*DSUM(Conservation,'Conservation Projects'!G3,$B$74:$C$75)</f>
        <v>0</v>
      </c>
      <c r="E37" s="226">
        <f>SUM(B37:D37)</f>
        <v>0</v>
      </c>
    </row>
    <row r="38" spans="1:5" ht="12.75">
      <c r="A38" s="176" t="str">
        <f>'Chart of Accounts'!C22</f>
        <v>Occupancy</v>
      </c>
      <c r="B38" s="163">
        <f>SUM(B34:B37)</f>
        <v>665.2215319650687</v>
      </c>
      <c r="C38" s="163">
        <f>SUM(C34:C37)</f>
        <v>721.6831882020358</v>
      </c>
      <c r="D38" s="163">
        <f>SUM(D34:D37)</f>
        <v>836.9114908470624</v>
      </c>
      <c r="E38" s="163">
        <f>SUM(E34:E37)</f>
        <v>2223.816211014167</v>
      </c>
    </row>
    <row r="39" spans="2:5" ht="12.75">
      <c r="B39" s="163"/>
      <c r="C39" s="163"/>
      <c r="D39" s="163"/>
      <c r="E39" s="163"/>
    </row>
    <row r="40" spans="1:5" ht="12.75">
      <c r="A40" s="1" t="str">
        <f>'Chart of Accounts'!$D$4</f>
        <v>Equipment Purchase</v>
      </c>
      <c r="B40" s="163">
        <f>'Shared &amp; Allocation'!B26*12</f>
        <v>190.06329484716247</v>
      </c>
      <c r="C40" s="163">
        <f>'Shared &amp; Allocation'!C26*12</f>
        <v>206.1951966291531</v>
      </c>
      <c r="D40" s="163">
        <f>'Shared &amp; Allocation'!D26*12</f>
        <v>239.1175688134464</v>
      </c>
      <c r="E40" s="163">
        <f>SUM(B40:D40)</f>
        <v>635.376060289762</v>
      </c>
    </row>
    <row r="41" spans="1:5" ht="12.75">
      <c r="A41" s="1" t="str">
        <f>'Chart of Accounts'!$D$5</f>
        <v>Equipment Maintenance/Repair</v>
      </c>
      <c r="B41" s="163">
        <f>'Shared &amp; Allocation'!B27*12</f>
        <v>44.34810213100458</v>
      </c>
      <c r="C41" s="163">
        <f>'Shared &amp; Allocation'!C27*12</f>
        <v>48.11221254680238</v>
      </c>
      <c r="D41" s="163">
        <f>'Shared &amp; Allocation'!D27*12</f>
        <v>55.79409938980416</v>
      </c>
      <c r="E41" s="163">
        <f>SUM(B41:D41)</f>
        <v>148.25441406761112</v>
      </c>
    </row>
    <row r="42" spans="1:5" ht="13.5" thickBot="1">
      <c r="A42" s="1" t="str">
        <f>'Chart of Accounts'!$D$6</f>
        <v>Depreciation</v>
      </c>
      <c r="B42" s="226">
        <f>'Shared &amp; Allocation'!B28*12</f>
        <v>190.06329484716247</v>
      </c>
      <c r="C42" s="226">
        <f>'Shared &amp; Allocation'!C28*12</f>
        <v>206.1951966291531</v>
      </c>
      <c r="D42" s="226">
        <f>'Shared &amp; Allocation'!D28*12</f>
        <v>239.1175688134464</v>
      </c>
      <c r="E42" s="226">
        <f>SUM(B42:D42)</f>
        <v>635.376060289762</v>
      </c>
    </row>
    <row r="43" spans="1:5" ht="12.75">
      <c r="A43" s="176" t="str">
        <f>'Chart of Accounts'!D3</f>
        <v>Equipment</v>
      </c>
      <c r="B43" s="163">
        <f>SUM(B40:B42)</f>
        <v>424.4746918253295</v>
      </c>
      <c r="C43" s="163">
        <f>SUM(C40:C42)</f>
        <v>460.50260580510854</v>
      </c>
      <c r="D43" s="163">
        <f>SUM(D40:D42)</f>
        <v>534.0292370166969</v>
      </c>
      <c r="E43" s="163">
        <f>SUM(E40:E42)</f>
        <v>1419.0065346471351</v>
      </c>
    </row>
    <row r="44" spans="2:5" ht="12.75">
      <c r="B44" s="163"/>
      <c r="C44" s="163"/>
      <c r="D44" s="163"/>
      <c r="E44" s="163"/>
    </row>
    <row r="45" spans="1:5" ht="12.75">
      <c r="A45" s="1" t="str">
        <f>'Chart of Accounts'!$D$9</f>
        <v>Supplies </v>
      </c>
      <c r="B45" s="163">
        <f>DSUM(Conservation,'Conservation Projects'!H3,D68:E81)+12*DSUM(Conservation,'Conservation Projects'!H3,$B$68:$C$69)+'Shared &amp; Allocation'!B29*12</f>
        <v>95.03164742358123</v>
      </c>
      <c r="C45" s="163">
        <f>DSUM(Conservation,'Conservation Projects'!H3,F68:G81)+12*DSUM(Conservation,'Conservation Projects'!H3,$B$71:$C$72)+'Shared &amp; Allocation'!C29*12</f>
        <v>103.09759831457654</v>
      </c>
      <c r="D45" s="163">
        <f>DSUM(Conservation,'Conservation Projects'!H3,H68:I81)+12*DSUM(Conservation,'Conservation Projects'!H3,$B$74:$C$75)+'Shared &amp; Allocation'!D29*12</f>
        <v>119.5587844067232</v>
      </c>
      <c r="E45" s="163">
        <f>SUM(B45:D45)</f>
        <v>317.688030144881</v>
      </c>
    </row>
    <row r="46" spans="1:5" ht="12.75">
      <c r="A46" s="1" t="str">
        <f>'Chart of Accounts'!$D$10</f>
        <v>Insurance</v>
      </c>
      <c r="B46" s="163">
        <f>'Shared &amp; Allocation'!B30*12</f>
        <v>316.7721580786041</v>
      </c>
      <c r="C46" s="163">
        <f>'Shared &amp; Allocation'!C30*12</f>
        <v>343.6586610485885</v>
      </c>
      <c r="D46" s="163">
        <f>'Shared &amp; Allocation'!D30*12</f>
        <v>398.52928135574393</v>
      </c>
      <c r="E46" s="163">
        <f>SUM(B46:D46)</f>
        <v>1058.9601004829365</v>
      </c>
    </row>
    <row r="47" spans="1:5" ht="12.75">
      <c r="A47" s="1" t="str">
        <f>'Chart of Accounts'!$D$11</f>
        <v>Food</v>
      </c>
      <c r="B47" s="163">
        <f>DSUM(Conservation,'Conservation Projects'!I3,D68:E81)+12*DSUM(Conservation,'Conservation Projects'!I3,$B$68:$C$69)</f>
        <v>200</v>
      </c>
      <c r="C47" s="163">
        <f>DSUM(Conservation,'Conservation Projects'!I3,F68:G81)+12*DSUM(Conservation,'Conservation Projects'!I3,$B$71:$C$72)</f>
        <v>0</v>
      </c>
      <c r="D47" s="163">
        <f>DSUM(Conservation,'Conservation Projects'!I3,H68:I81)+12*DSUM(Conservation,'Conservation Projects'!I3,$B$74:$C$75)</f>
        <v>0</v>
      </c>
      <c r="E47" s="163">
        <f>SUM(B47:D47)</f>
        <v>200</v>
      </c>
    </row>
    <row r="48" spans="1:5" ht="12.75">
      <c r="A48" s="1" t="str">
        <f>'Chart of Accounts'!$D$12</f>
        <v>Misc. Exp.</v>
      </c>
      <c r="B48" s="163">
        <f>'Shared &amp; Allocation'!B31*12+DSUM(Conservation,'Conservation Projects'!$J$3,B68:C69)*12+DSUM(Conservation,'Conservation Projects'!$J$3,D68:E81)</f>
        <v>63.35443161572083</v>
      </c>
      <c r="C48" s="163">
        <f>'Shared &amp; Allocation'!C31*12+DSUM(Conservation,'Conservation Projects'!$J$3,B71:C72)*12+DSUM(Conservation,'Conservation Projects'!$J$3,F68:G81)</f>
        <v>68.7317322097177</v>
      </c>
      <c r="D48" s="163">
        <f>'Shared &amp; Allocation'!D31*12+DSUM(Conservation,'Conservation Projects'!$J$3,B74:C75)*12+DSUM(Conservation,'Conservation Projects'!$J$3,H68:I81)</f>
        <v>79.7058562711488</v>
      </c>
      <c r="E48" s="163">
        <f>SUM(B48:D48)</f>
        <v>211.79202009658732</v>
      </c>
    </row>
    <row r="49" spans="1:5" ht="13.5" thickBot="1">
      <c r="A49" s="1" t="str">
        <f>'Chart of Accounts'!$D$13</f>
        <v>Fees</v>
      </c>
      <c r="B49" s="226">
        <f>DSUM(Conservation,'Conservation Projects'!K3,D68:E81)+12*DSUM(Conservation,'Conservation Projects'!K3,$B$68:$C$69)</f>
        <v>0</v>
      </c>
      <c r="C49" s="226">
        <f>DSUM(Conservation,'Conservation Projects'!K3,F68:G81)+12*DSUM(Conservation,'Conservation Projects'!K3,$B$71:$C$72)</f>
        <v>0</v>
      </c>
      <c r="D49" s="226">
        <f>DSUM(Conservation,'Conservation Projects'!K3,H68:I81)+12*DSUM(Conservation,'Conservation Projects'!K3,$B$74:$C$75)</f>
        <v>0</v>
      </c>
      <c r="E49" s="226">
        <f>SUM(B49:D49)</f>
        <v>0</v>
      </c>
    </row>
    <row r="50" spans="1:5" ht="12.75">
      <c r="A50" s="176" t="str">
        <f>'Chart of Accounts'!D8</f>
        <v>General  / Misc.</v>
      </c>
      <c r="B50" s="163">
        <f>SUM(B45:B49)</f>
        <v>675.1582371179062</v>
      </c>
      <c r="C50" s="163">
        <f>SUM(C45:C49)</f>
        <v>515.4879915728827</v>
      </c>
      <c r="D50" s="163">
        <f>SUM(D45:D49)</f>
        <v>597.793922033616</v>
      </c>
      <c r="E50" s="163">
        <f>SUM(E45:E49)</f>
        <v>1788.4401507244047</v>
      </c>
    </row>
    <row r="51" spans="1:5" ht="12.75">
      <c r="A51" s="3"/>
      <c r="B51" s="163"/>
      <c r="C51" s="163"/>
      <c r="D51" s="163"/>
      <c r="E51" s="163"/>
    </row>
    <row r="52" spans="1:5" ht="12.75">
      <c r="A52" s="177" t="str">
        <f>'Chart of Accounts'!D16</f>
        <v>Postage</v>
      </c>
      <c r="B52" s="163">
        <f>DSUM(Conservation,'Conservation Projects'!L3,D68:E81)+12*DSUM(Conservation,'Conservation Projects'!L3,$B$68:$C$69)+'Shared &amp; Allocation'!B32*12</f>
        <v>158.38607903930205</v>
      </c>
      <c r="C52" s="163">
        <f>DSUM(Conservation,'Conservation Projects'!L3,F68:G81)+12*DSUM(Conservation,'Conservation Projects'!L3,$B$71:$C$72)+'Shared &amp; Allocation'!C32*12</f>
        <v>171.82933052429425</v>
      </c>
      <c r="D52" s="163">
        <f>DSUM(Conservation,'Conservation Projects'!L3,H68:I81)+12*DSUM(Conservation,'Conservation Projects'!L3,$B$74:$C$75)+'Shared &amp; Allocation'!D32*12</f>
        <v>199.26464067787197</v>
      </c>
      <c r="E52" s="163">
        <f>SUM(B52:D52)</f>
        <v>529.4800502414682</v>
      </c>
    </row>
    <row r="53" spans="2:5" ht="12.75">
      <c r="B53" s="163"/>
      <c r="C53" s="163"/>
      <c r="D53" s="163"/>
      <c r="E53" s="163"/>
    </row>
    <row r="54" spans="1:5" ht="12.75">
      <c r="A54" s="176" t="str">
        <f>'Chart of Accounts'!D18</f>
        <v>Travel</v>
      </c>
      <c r="B54" s="163">
        <f>DSUM(Conservation,'Conservation Projects'!M3,D68:E81)+12*DSUM(Conservation,'Conservation Projects'!M3,$B$68:$C$69)</f>
        <v>0</v>
      </c>
      <c r="C54" s="163">
        <f>DSUM(Conservation,'Conservation Projects'!M3,F68:G81)+12*DSUM(Conservation,'Conservation Projects'!M3,$B$71:$C$72)</f>
        <v>0</v>
      </c>
      <c r="D54" s="163">
        <f>DSUM(Conservation,'Conservation Projects'!M3,H68:I81)+12*DSUM(Conservation,'Conservation Projects'!M3,$B$74:$C$75)</f>
        <v>0</v>
      </c>
      <c r="E54" s="163">
        <f>SUM(B54:D54)</f>
        <v>0</v>
      </c>
    </row>
    <row r="55" spans="1:5" ht="12.75">
      <c r="A55" s="3"/>
      <c r="B55" s="163"/>
      <c r="C55" s="163"/>
      <c r="D55" s="163"/>
      <c r="E55" s="163"/>
    </row>
    <row r="56" spans="1:5" ht="12.75">
      <c r="A56" s="1" t="str">
        <f>'Chart of Accounts'!$D$21</f>
        <v>Printing</v>
      </c>
      <c r="B56" s="163">
        <f>DSUM(Conservation,'Conservation Projects'!N3,D68:E81)+12*DSUM(Conservation,'Conservation Projects'!N3,$B$68:$C$69)+'Shared &amp; Allocation'!B33*12</f>
        <v>63.35443161572083</v>
      </c>
      <c r="C56" s="163">
        <f>DSUM(Conservation,'Conservation Projects'!N3,F68:G81)+12*DSUM(Conservation,'Conservation Projects'!N3,$B$71:$C$72)+'Shared &amp; Allocation'!C33*12</f>
        <v>68.7317322097177</v>
      </c>
      <c r="D56" s="163">
        <f>DSUM(Conservation,'Conservation Projects'!N3,H68:I81)+12*DSUM(Conservation,'Conservation Projects'!N3,$B$74:$C$75)+'Shared &amp; Allocation'!D33*12</f>
        <v>79.7058562711488</v>
      </c>
      <c r="E56" s="163">
        <f>SUM(B56:D56)</f>
        <v>211.79202009658732</v>
      </c>
    </row>
    <row r="57" spans="1:5" ht="12.75">
      <c r="A57" s="1" t="str">
        <f>'Chart of Accounts'!$D$22</f>
        <v>Media </v>
      </c>
      <c r="B57" s="163">
        <f>DSUM(Conservation,'Conservation Projects'!O3,D68:E81)+12*DSUM(Conservation,'Conservation Projects'!O3,$B$68:$C$69)</f>
        <v>0</v>
      </c>
      <c r="C57" s="163">
        <f>DSUM(Conservation,'Conservation Projects'!O3,F68:G81)+12*DSUM(Conservation,'Conservation Projects'!O3,$B$71:$C$72)</f>
        <v>0</v>
      </c>
      <c r="D57" s="163">
        <f>DSUM(Conservation,'Conservation Projects'!O3,H68:I81)+12*DSUM(Conservation,'Conservation Projects'!O3,$B$74:$C$75)</f>
        <v>0</v>
      </c>
      <c r="E57" s="163">
        <f>SUM(B57:D57)</f>
        <v>0</v>
      </c>
    </row>
    <row r="58" spans="1:5" ht="12.75">
      <c r="A58" s="1" t="str">
        <f>'Chart of Accounts'!$D$23</f>
        <v>Conf./Training</v>
      </c>
      <c r="B58" s="163">
        <f>DSUM(Conservation,'Conservation Projects'!P3,D68:E81)+12*DSUM(Conservation,'Conservation Projects'!P3,$B$68:$C$69)</f>
        <v>0</v>
      </c>
      <c r="C58" s="163">
        <f>DSUM(Conservation,'Conservation Projects'!P3,F68:G81)+12*DSUM(Conservation,'Conservation Projects'!P3,$B$71:$C$72)</f>
        <v>0</v>
      </c>
      <c r="D58" s="163">
        <f>DSUM(Conservation,'Conservation Projects'!P3,H68:I81)+12*DSUM(Conservation,'Conservation Projects'!P3,$B$74:$C$75)</f>
        <v>0</v>
      </c>
      <c r="E58" s="163">
        <f>SUM(B58:D58)</f>
        <v>0</v>
      </c>
    </row>
    <row r="59" spans="1:5" ht="13.5" thickBot="1">
      <c r="A59" s="1" t="str">
        <f>'Chart of Accounts'!$D$24</f>
        <v>Property Acq.</v>
      </c>
      <c r="B59" s="226"/>
      <c r="C59" s="226"/>
      <c r="D59" s="226"/>
      <c r="E59" s="226">
        <f>SUM(B59:D59)</f>
        <v>0</v>
      </c>
    </row>
    <row r="60" spans="1:5" ht="12.75">
      <c r="A60" s="176" t="str">
        <f>'Chart of Accounts'!D20</f>
        <v>Project Expenses</v>
      </c>
      <c r="B60" s="163">
        <f>SUM(B56:B59)</f>
        <v>63.35443161572083</v>
      </c>
      <c r="C60" s="163">
        <f>SUM(C56:C59)</f>
        <v>68.7317322097177</v>
      </c>
      <c r="D60" s="163">
        <f>SUM(D56:D59)</f>
        <v>79.7058562711488</v>
      </c>
      <c r="E60" s="163">
        <f>SUM(E56:E59)</f>
        <v>211.79202009658732</v>
      </c>
    </row>
    <row r="61" spans="2:4" ht="12.75">
      <c r="B61" s="49"/>
      <c r="C61" s="49"/>
      <c r="D61" s="49"/>
    </row>
    <row r="62" spans="1:5" ht="15">
      <c r="A62" s="7" t="s">
        <v>44</v>
      </c>
      <c r="B62" s="222">
        <f>B20+B28+B32+B38+B43+B50+B52+B54+B60</f>
        <v>38372.08394802621</v>
      </c>
      <c r="C62" s="222">
        <f>C20+C28+C32+C38+C43+C50+C52+C54+C60</f>
        <v>42784.681027152896</v>
      </c>
      <c r="D62" s="222">
        <f>D20+D28+D32+D38+D43+D50+D52+D54+D60</f>
        <v>46136.94382193099</v>
      </c>
      <c r="E62" s="222">
        <f>E20+E28+E32+E38+E43+E50+E52+E54+E60</f>
        <v>127293.70879711011</v>
      </c>
    </row>
    <row r="64" spans="1:5" ht="15">
      <c r="A64" s="7" t="s">
        <v>161</v>
      </c>
      <c r="B64" s="227">
        <f>B12-B62</f>
        <v>29127.916051973792</v>
      </c>
      <c r="C64" s="227">
        <f>C12-C62</f>
        <v>82625.3189728471</v>
      </c>
      <c r="D64" s="227">
        <f>D12-D62</f>
        <v>-15386.943821930989</v>
      </c>
      <c r="E64" s="227">
        <f>E12-E62</f>
        <v>96366.29120288989</v>
      </c>
    </row>
    <row r="68" spans="2:10" ht="12.75">
      <c r="B68" s="251" t="s">
        <v>153</v>
      </c>
      <c r="C68" s="251" t="s">
        <v>176</v>
      </c>
      <c r="D68" s="251" t="s">
        <v>153</v>
      </c>
      <c r="E68" s="251" t="s">
        <v>176</v>
      </c>
      <c r="F68" s="251" t="s">
        <v>153</v>
      </c>
      <c r="G68" s="251" t="s">
        <v>176</v>
      </c>
      <c r="H68" s="251" t="s">
        <v>153</v>
      </c>
      <c r="I68" s="251" t="s">
        <v>176</v>
      </c>
      <c r="J68" s="269"/>
    </row>
    <row r="69" spans="2:10" ht="12.75">
      <c r="B69" s="219" t="str">
        <f>'Chart of Accounts'!$A$9</f>
        <v>Protection</v>
      </c>
      <c r="C69" s="220" t="s">
        <v>187</v>
      </c>
      <c r="D69" s="219" t="str">
        <f>'Chart of Accounts'!$A$9</f>
        <v>Protection</v>
      </c>
      <c r="E69" s="266">
        <f>'Chart of Accounts'!$E$3</f>
        <v>36892</v>
      </c>
      <c r="F69" s="219" t="str">
        <f>'Chart of Accounts'!$A$10</f>
        <v>Stewardship</v>
      </c>
      <c r="G69" s="266">
        <f>'Chart of Accounts'!$E$3</f>
        <v>36892</v>
      </c>
      <c r="H69" s="219" t="str">
        <f>'Chart of Accounts'!$A$11</f>
        <v>Monitoring</v>
      </c>
      <c r="I69" s="266">
        <f>'Chart of Accounts'!$E$3</f>
        <v>36892</v>
      </c>
      <c r="J69" s="269"/>
    </row>
    <row r="70" spans="2:10" ht="12.75">
      <c r="B70" s="269"/>
      <c r="C70" s="269"/>
      <c r="D70" s="219" t="str">
        <f>'Chart of Accounts'!$A$9</f>
        <v>Protection</v>
      </c>
      <c r="E70" s="266">
        <f>'Chart of Accounts'!$E$4</f>
        <v>36923</v>
      </c>
      <c r="F70" s="219" t="str">
        <f>'Chart of Accounts'!$A$10</f>
        <v>Stewardship</v>
      </c>
      <c r="G70" s="266">
        <f>'Chart of Accounts'!$E$4</f>
        <v>36923</v>
      </c>
      <c r="H70" s="219" t="str">
        <f>'Chart of Accounts'!$A$11</f>
        <v>Monitoring</v>
      </c>
      <c r="I70" s="266">
        <f>'Chart of Accounts'!$E$4</f>
        <v>36923</v>
      </c>
      <c r="J70" s="269"/>
    </row>
    <row r="71" spans="2:10" ht="12.75">
      <c r="B71" s="251" t="s">
        <v>153</v>
      </c>
      <c r="C71" s="251" t="s">
        <v>176</v>
      </c>
      <c r="D71" s="219" t="str">
        <f>'Chart of Accounts'!$A$9</f>
        <v>Protection</v>
      </c>
      <c r="E71" s="266">
        <f>'Chart of Accounts'!$E$5</f>
        <v>36951</v>
      </c>
      <c r="F71" s="219" t="str">
        <f>'Chart of Accounts'!$A$10</f>
        <v>Stewardship</v>
      </c>
      <c r="G71" s="266">
        <f>'Chart of Accounts'!$E$5</f>
        <v>36951</v>
      </c>
      <c r="H71" s="219" t="str">
        <f>'Chart of Accounts'!$A$11</f>
        <v>Monitoring</v>
      </c>
      <c r="I71" s="266">
        <f>'Chart of Accounts'!$E$5</f>
        <v>36951</v>
      </c>
      <c r="J71" s="269"/>
    </row>
    <row r="72" spans="2:10" ht="12.75">
      <c r="B72" s="219" t="str">
        <f>'Chart of Accounts'!$A$10</f>
        <v>Stewardship</v>
      </c>
      <c r="C72" s="220" t="s">
        <v>187</v>
      </c>
      <c r="D72" s="219" t="str">
        <f>'Chart of Accounts'!$A$9</f>
        <v>Protection</v>
      </c>
      <c r="E72" s="266">
        <f>'Chart of Accounts'!$E$6</f>
        <v>36982</v>
      </c>
      <c r="F72" s="219" t="str">
        <f>'Chart of Accounts'!$A$10</f>
        <v>Stewardship</v>
      </c>
      <c r="G72" s="266">
        <f>'Chart of Accounts'!$E$6</f>
        <v>36982</v>
      </c>
      <c r="H72" s="219" t="str">
        <f>'Chart of Accounts'!$A$11</f>
        <v>Monitoring</v>
      </c>
      <c r="I72" s="266">
        <f>'Chart of Accounts'!$E$6</f>
        <v>36982</v>
      </c>
      <c r="J72" s="269"/>
    </row>
    <row r="73" spans="2:10" ht="12.75">
      <c r="B73" s="269"/>
      <c r="C73" s="269"/>
      <c r="D73" s="219" t="str">
        <f>'Chart of Accounts'!$A$9</f>
        <v>Protection</v>
      </c>
      <c r="E73" s="266">
        <f>'Chart of Accounts'!$E$7</f>
        <v>37012</v>
      </c>
      <c r="F73" s="219" t="str">
        <f>'Chart of Accounts'!$A$10</f>
        <v>Stewardship</v>
      </c>
      <c r="G73" s="266">
        <f>'Chart of Accounts'!$E$7</f>
        <v>37012</v>
      </c>
      <c r="H73" s="219" t="str">
        <f>'Chart of Accounts'!$A$11</f>
        <v>Monitoring</v>
      </c>
      <c r="I73" s="266">
        <f>'Chart of Accounts'!$E$7</f>
        <v>37012</v>
      </c>
      <c r="J73" s="269"/>
    </row>
    <row r="74" spans="2:10" ht="12.75">
      <c r="B74" s="251" t="s">
        <v>153</v>
      </c>
      <c r="C74" s="251" t="s">
        <v>176</v>
      </c>
      <c r="D74" s="219" t="str">
        <f>'Chart of Accounts'!$A$9</f>
        <v>Protection</v>
      </c>
      <c r="E74" s="266">
        <f>'Chart of Accounts'!$E$8</f>
        <v>37043</v>
      </c>
      <c r="F74" s="219" t="str">
        <f>'Chart of Accounts'!$A$10</f>
        <v>Stewardship</v>
      </c>
      <c r="G74" s="266">
        <f>'Chart of Accounts'!$E$8</f>
        <v>37043</v>
      </c>
      <c r="H74" s="219" t="str">
        <f>'Chart of Accounts'!$A$11</f>
        <v>Monitoring</v>
      </c>
      <c r="I74" s="266">
        <f>'Chart of Accounts'!$E$8</f>
        <v>37043</v>
      </c>
      <c r="J74" s="269"/>
    </row>
    <row r="75" spans="2:10" ht="12.75">
      <c r="B75" s="219" t="str">
        <f>'Chart of Accounts'!$A$11</f>
        <v>Monitoring</v>
      </c>
      <c r="C75" s="220" t="s">
        <v>187</v>
      </c>
      <c r="D75" s="219" t="str">
        <f>'Chart of Accounts'!$A$9</f>
        <v>Protection</v>
      </c>
      <c r="E75" s="266">
        <f>'Chart of Accounts'!$E$9</f>
        <v>37073</v>
      </c>
      <c r="F75" s="219" t="str">
        <f>'Chart of Accounts'!$A$10</f>
        <v>Stewardship</v>
      </c>
      <c r="G75" s="266">
        <f>'Chart of Accounts'!$E$9</f>
        <v>37073</v>
      </c>
      <c r="H75" s="219" t="str">
        <f>'Chart of Accounts'!$A$11</f>
        <v>Monitoring</v>
      </c>
      <c r="I75" s="266">
        <f>'Chart of Accounts'!$E$9</f>
        <v>37073</v>
      </c>
      <c r="J75" s="269"/>
    </row>
    <row r="76" spans="2:10" ht="12.75">
      <c r="B76" s="269"/>
      <c r="C76" s="269"/>
      <c r="D76" s="219" t="str">
        <f>'Chart of Accounts'!$A$9</f>
        <v>Protection</v>
      </c>
      <c r="E76" s="266">
        <f>'Chart of Accounts'!$E$10</f>
        <v>37104</v>
      </c>
      <c r="F76" s="219" t="str">
        <f>'Chart of Accounts'!$A$10</f>
        <v>Stewardship</v>
      </c>
      <c r="G76" s="266">
        <f>'Chart of Accounts'!$E$10</f>
        <v>37104</v>
      </c>
      <c r="H76" s="219" t="str">
        <f>'Chart of Accounts'!$A$11</f>
        <v>Monitoring</v>
      </c>
      <c r="I76" s="266">
        <f>'Chart of Accounts'!$E$10</f>
        <v>37104</v>
      </c>
      <c r="J76" s="269"/>
    </row>
    <row r="77" spans="2:10" ht="12.75">
      <c r="B77" s="269"/>
      <c r="C77" s="269"/>
      <c r="D77" s="219" t="str">
        <f>'Chart of Accounts'!$A$9</f>
        <v>Protection</v>
      </c>
      <c r="E77" s="266">
        <f>'Chart of Accounts'!$E$11</f>
        <v>37135</v>
      </c>
      <c r="F77" s="219" t="str">
        <f>'Chart of Accounts'!$A$10</f>
        <v>Stewardship</v>
      </c>
      <c r="G77" s="266">
        <f>'Chart of Accounts'!$E$11</f>
        <v>37135</v>
      </c>
      <c r="H77" s="219" t="str">
        <f>'Chart of Accounts'!$A$11</f>
        <v>Monitoring</v>
      </c>
      <c r="I77" s="266">
        <f>'Chart of Accounts'!$E$11</f>
        <v>37135</v>
      </c>
      <c r="J77" s="269"/>
    </row>
    <row r="78" spans="2:10" ht="12.75">
      <c r="B78" s="269"/>
      <c r="C78" s="269"/>
      <c r="D78" s="219" t="str">
        <f>'Chart of Accounts'!$A$9</f>
        <v>Protection</v>
      </c>
      <c r="E78" s="266">
        <f>'Chart of Accounts'!$E$12</f>
        <v>37165</v>
      </c>
      <c r="F78" s="219" t="str">
        <f>'Chart of Accounts'!$A$10</f>
        <v>Stewardship</v>
      </c>
      <c r="G78" s="266">
        <f>'Chart of Accounts'!$E$12</f>
        <v>37165</v>
      </c>
      <c r="H78" s="219" t="str">
        <f>'Chart of Accounts'!$A$11</f>
        <v>Monitoring</v>
      </c>
      <c r="I78" s="266">
        <f>'Chart of Accounts'!$E$12</f>
        <v>37165</v>
      </c>
      <c r="J78" s="269"/>
    </row>
    <row r="79" spans="2:10" ht="12.75">
      <c r="B79" s="269"/>
      <c r="C79" s="269"/>
      <c r="D79" s="219" t="str">
        <f>'Chart of Accounts'!$A$9</f>
        <v>Protection</v>
      </c>
      <c r="E79" s="266">
        <f>'Chart of Accounts'!$E$13</f>
        <v>37196</v>
      </c>
      <c r="F79" s="219" t="str">
        <f>'Chart of Accounts'!$A$10</f>
        <v>Stewardship</v>
      </c>
      <c r="G79" s="266">
        <f>'Chart of Accounts'!$E$13</f>
        <v>37196</v>
      </c>
      <c r="H79" s="219" t="str">
        <f>'Chart of Accounts'!$A$11</f>
        <v>Monitoring</v>
      </c>
      <c r="I79" s="266">
        <f>'Chart of Accounts'!$E$13</f>
        <v>37196</v>
      </c>
      <c r="J79" s="269"/>
    </row>
    <row r="80" spans="2:10" ht="12.75">
      <c r="B80" s="269"/>
      <c r="C80" s="269"/>
      <c r="D80" s="219" t="str">
        <f>'Chart of Accounts'!$A$9</f>
        <v>Protection</v>
      </c>
      <c r="E80" s="266">
        <f>'Chart of Accounts'!$E$14</f>
        <v>37226</v>
      </c>
      <c r="F80" s="219" t="str">
        <f>'Chart of Accounts'!$A$10</f>
        <v>Stewardship</v>
      </c>
      <c r="G80" s="266">
        <f>'Chart of Accounts'!$E$14</f>
        <v>37226</v>
      </c>
      <c r="H80" s="219" t="str">
        <f>'Chart of Accounts'!$A$11</f>
        <v>Monitoring</v>
      </c>
      <c r="I80" s="266">
        <f>'Chart of Accounts'!$E$14</f>
        <v>37226</v>
      </c>
      <c r="J80" s="269"/>
    </row>
    <row r="81" spans="2:10" ht="12.75">
      <c r="B81" s="269"/>
      <c r="C81" s="269"/>
      <c r="D81" s="219" t="str">
        <f>'Chart of Accounts'!$A$9</f>
        <v>Protection</v>
      </c>
      <c r="E81" s="266" t="s">
        <v>188</v>
      </c>
      <c r="F81" s="219" t="str">
        <f>'Chart of Accounts'!$A$10</f>
        <v>Stewardship</v>
      </c>
      <c r="G81" s="266" t="s">
        <v>188</v>
      </c>
      <c r="H81" s="219" t="str">
        <f>'Chart of Accounts'!$A$11</f>
        <v>Monitoring</v>
      </c>
      <c r="I81" s="266" t="s">
        <v>188</v>
      </c>
      <c r="J81" s="269"/>
    </row>
    <row r="82" spans="2:10" ht="12.75">
      <c r="B82" s="269"/>
      <c r="C82" s="269"/>
      <c r="D82" s="269"/>
      <c r="E82" s="269"/>
      <c r="F82" s="269"/>
      <c r="G82" s="269"/>
      <c r="H82" s="269"/>
      <c r="I82" s="269"/>
      <c r="J82" s="269"/>
    </row>
    <row r="83" spans="2:10" ht="12.75">
      <c r="B83" s="269"/>
      <c r="C83" s="269"/>
      <c r="D83" s="269"/>
      <c r="E83" s="269"/>
      <c r="F83" s="269"/>
      <c r="G83" s="269"/>
      <c r="H83" s="269"/>
      <c r="I83" s="269"/>
      <c r="J83" s="2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L8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5" width="15.7109375" style="1" customWidth="1"/>
    <col min="6" max="6" width="13.140625" style="1" customWidth="1"/>
    <col min="7" max="16384" width="9.140625" style="1" customWidth="1"/>
  </cols>
  <sheetData>
    <row r="1" spans="1:5" ht="12.75">
      <c r="A1" s="7" t="str">
        <f>'Chart of Accounts'!A3</f>
        <v>Outreach</v>
      </c>
      <c r="B1" s="251" t="s">
        <v>153</v>
      </c>
      <c r="C1" s="251" t="s">
        <v>153</v>
      </c>
      <c r="D1" s="251" t="s">
        <v>153</v>
      </c>
      <c r="E1" s="251" t="s">
        <v>153</v>
      </c>
    </row>
    <row r="2" spans="2:6" ht="12.75">
      <c r="B2" s="253" t="str">
        <f>'Chart of Accounts'!$A$12</f>
        <v>Landowner</v>
      </c>
      <c r="C2" s="253" t="str">
        <f>'Chart of Accounts'!$A$13</f>
        <v>Public</v>
      </c>
      <c r="D2" s="253" t="str">
        <f>'Chart of Accounts'!$A$14</f>
        <v>Networking</v>
      </c>
      <c r="E2" s="253" t="str">
        <f>'Chart of Accounts'!$A$15</f>
        <v>Advocacy</v>
      </c>
      <c r="F2" s="17" t="s">
        <v>46</v>
      </c>
    </row>
    <row r="3" spans="1:5" ht="12.75">
      <c r="A3" s="7" t="s">
        <v>27</v>
      </c>
      <c r="B3" s="80"/>
      <c r="C3" s="80"/>
      <c r="D3" s="80"/>
      <c r="E3" s="80"/>
    </row>
    <row r="4" spans="1:6" ht="12.75">
      <c r="A4" s="1" t="str">
        <f>'Chart of Accounts'!B4</f>
        <v>New Members</v>
      </c>
      <c r="B4" s="188">
        <f>'Unrestricted Revenue'!G33</f>
        <v>6000</v>
      </c>
      <c r="C4" s="188">
        <f>'Unrestricted Revenue'!H33</f>
        <v>0</v>
      </c>
      <c r="D4" s="188">
        <f>'Unrestricted Revenue'!I33</f>
        <v>0</v>
      </c>
      <c r="E4" s="188">
        <f>'Unrestricted Revenue'!J33</f>
        <v>0</v>
      </c>
      <c r="F4" s="188">
        <f aca="true" t="shared" si="0" ref="F4:F12">SUM(B4:E4)</f>
        <v>6000</v>
      </c>
    </row>
    <row r="5" spans="1:6" ht="12.75">
      <c r="A5" s="1" t="str">
        <f>'Chart of Accounts'!B5</f>
        <v>Renewals</v>
      </c>
      <c r="B5" s="116">
        <f>'Unrestricted Revenue'!G34</f>
        <v>15000</v>
      </c>
      <c r="C5" s="116">
        <f>'Unrestricted Revenue'!H34</f>
        <v>0</v>
      </c>
      <c r="D5" s="116">
        <f>'Unrestricted Revenue'!I34</f>
        <v>0</v>
      </c>
      <c r="E5" s="116">
        <f>'Unrestricted Revenue'!J34</f>
        <v>0</v>
      </c>
      <c r="F5" s="116">
        <f t="shared" si="0"/>
        <v>15000</v>
      </c>
    </row>
    <row r="6" spans="1:6" ht="12.75">
      <c r="A6" s="1" t="str">
        <f>'Chart of Accounts'!B6</f>
        <v>Appeals</v>
      </c>
      <c r="B6" s="116">
        <f>'Unrestricted Revenue'!G35</f>
        <v>3000</v>
      </c>
      <c r="C6" s="116">
        <f>'Unrestricted Revenue'!H35</f>
        <v>0</v>
      </c>
      <c r="D6" s="116">
        <f>'Unrestricted Revenue'!I35</f>
        <v>0</v>
      </c>
      <c r="E6" s="116">
        <f>'Unrestricted Revenue'!J35</f>
        <v>0</v>
      </c>
      <c r="F6" s="116">
        <f t="shared" si="0"/>
        <v>3000</v>
      </c>
    </row>
    <row r="7" spans="1:6" ht="12.75">
      <c r="A7" s="1" t="str">
        <f>'Chart of Accounts'!B7</f>
        <v>Monthly Giving</v>
      </c>
      <c r="B7" s="116">
        <f>'Unrestricted Revenue'!G36+DSUM(Revenue,'Revenue Projects'!$D$2,B68:C69)*12+DSUM(Revenue,'Revenue Projects'!$D$2,D68:E81)</f>
        <v>1440</v>
      </c>
      <c r="C7" s="116">
        <f>'Unrestricted Revenue'!H36+DSUM(Revenue,'Revenue Projects'!$D$2,B71:C72)*12+DSUM(Revenue,'Revenue Projects'!$D$2,F68:G81)</f>
        <v>0</v>
      </c>
      <c r="D7" s="116">
        <f>'Unrestricted Revenue'!I36+DSUM(Revenue,'Revenue Projects'!$D$2,B74:C75)*12+DSUM(Revenue,'Revenue Projects'!$D$2,H68:I81)</f>
        <v>0</v>
      </c>
      <c r="E7" s="116">
        <f>'Unrestricted Revenue'!J36+DSUM(Revenue,'Revenue Projects'!$D$2,B77:C78)*12+DSUM(Revenue,'Revenue Projects'!$D$2,J68:K81)</f>
        <v>0</v>
      </c>
      <c r="F7" s="116">
        <f t="shared" si="0"/>
        <v>1440</v>
      </c>
    </row>
    <row r="8" spans="1:6" ht="12.75">
      <c r="A8" s="1" t="str">
        <f>'Chart of Accounts'!B9</f>
        <v>Major Donors</v>
      </c>
      <c r="B8" s="116">
        <f>DSUM(MajorDonors,'Major Donors'!$D$2,B68:C69)*12+DSUM(MajorDonors,'Major Donors'!$D$2,D68:E81)+'Unrestricted Revenue'!G37</f>
        <v>0</v>
      </c>
      <c r="C8" s="116">
        <f>DSUM(MajorDonors,'Major Donors'!$D$2,B71:C72)*12+DSUM(MajorDonors,'Major Donors'!$D$2,F68:G81)+'Unrestricted Revenue'!H37</f>
        <v>9000</v>
      </c>
      <c r="D8" s="116">
        <f>DSUM(MajorDonors,'Major Donors'!$D$2,B74:C75)*12+DSUM(MajorDonors,'Major Donors'!$D$2,H68:I81)+'Unrestricted Revenue'!I37</f>
        <v>0</v>
      </c>
      <c r="E8" s="116">
        <f>DSUM(MajorDonors,'Major Donors'!$D$2,B77:C78)*12+DSUM(MajorDonors,'Major Donors'!$D$2,J68:K81)+'Unrestricted Revenue'!J37</f>
        <v>0</v>
      </c>
      <c r="F8" s="116">
        <f t="shared" si="0"/>
        <v>9000</v>
      </c>
    </row>
    <row r="9" spans="1:6" ht="12.75">
      <c r="A9" s="1" t="str">
        <f>'Chart of Accounts'!B11</f>
        <v>Workplace Giving</v>
      </c>
      <c r="B9" s="116">
        <f>'Unrestricted Revenue'!G38+DSUM(Revenue,'Revenue Projects'!$E$2,B68:C69)*12+DSUM(Revenue,'Revenue Projects'!$E$2,D68:E81)</f>
        <v>0</v>
      </c>
      <c r="C9" s="116">
        <f>'Unrestricted Revenue'!H38+DSUM(Revenue,'Revenue Projects'!$E$2,B71:C72)*12+DSUM(Revenue,'Revenue Projects'!$E$2,F68:G81)</f>
        <v>0</v>
      </c>
      <c r="D9" s="116">
        <f>'Unrestricted Revenue'!I38+DSUM(Revenue,'Revenue Projects'!$E$2,B74:C75)*12+DSUM(Revenue,'Revenue Projects'!$E$2,H68:I81)</f>
        <v>0</v>
      </c>
      <c r="E9" s="116">
        <f>'Unrestricted Revenue'!J38+DSUM(Revenue,'Revenue Projects'!$E$2,B77:C78)*12+DSUM(Revenue,'Revenue Projects'!$E$2,J68:K81)</f>
        <v>0</v>
      </c>
      <c r="F9" s="116">
        <f t="shared" si="0"/>
        <v>0</v>
      </c>
    </row>
    <row r="10" spans="1:6" ht="12.75">
      <c r="A10" s="1" t="str">
        <f>'Chart of Accounts'!B13</f>
        <v>Grants</v>
      </c>
      <c r="B10" s="116">
        <f>DSUM(Grants,Grants!$E$10,B68:C69)*12+DSUM(Grants,Grants!$E$10,D68:E81)+'Unrestricted Revenue'!G39</f>
        <v>30000</v>
      </c>
      <c r="C10" s="116">
        <f>DSUM(Grants,Grants!$E$10,B71:C72)*12+DSUM(Grants,Grants!$E$10,F68:G81)+'Unrestricted Revenue'!H39</f>
        <v>0</v>
      </c>
      <c r="D10" s="116">
        <f>DSUM(Grants,Grants!$E$10,B74:C75)*12+DSUM(Grants,Grants!$E$10,H68:I81)+'Unrestricted Revenue'!I39</f>
        <v>0</v>
      </c>
      <c r="E10" s="116">
        <f>DSUM(Grants,Grants!$E$10,B77:C78)*12+DSUM(Grants,Grants!$E$10,J68:K81)+'Unrestricted Revenue'!J39</f>
        <v>0</v>
      </c>
      <c r="F10" s="116">
        <f t="shared" si="0"/>
        <v>30000</v>
      </c>
    </row>
    <row r="11" spans="1:6" ht="13.5" thickBot="1">
      <c r="A11" s="1" t="str">
        <f>'Chart of Accounts'!B15</f>
        <v>Other Income</v>
      </c>
      <c r="B11" s="13">
        <f>SUM('Unrestricted Revenue'!G29:G32)+'Unrestricted Revenue'!G40+DSUM(Revenue,'Revenue Projects'!$F$2,B68:C69)*12+DSUM(Revenue,'Revenue Projects'!$F$2,D68:E81)</f>
        <v>0</v>
      </c>
      <c r="C11" s="13">
        <f>SUM('Unrestricted Revenue'!H29:H32)+'Unrestricted Revenue'!H40+DSUM(Revenue,'Revenue Projects'!$F$2,B71:C72)*12+DSUM(Revenue,'Revenue Projects'!$F$2,F68:G81)</f>
        <v>0</v>
      </c>
      <c r="D11" s="13">
        <f>SUM('Unrestricted Revenue'!I29:I32)+'Unrestricted Revenue'!I40+DSUM(Revenue,'Revenue Projects'!$F$2,B74:C75)*12+DSUM(Revenue,'Revenue Projects'!$F$2,H68:I81)</f>
        <v>577.5</v>
      </c>
      <c r="E11" s="13">
        <f>SUM('Unrestricted Revenue'!J29:J32)+'Unrestricted Revenue'!J40+DSUM(Revenue,'Revenue Projects'!$F$2,B77:C78)*12+DSUM(Revenue,'Revenue Projects'!$F$2,J68:K81)</f>
        <v>577.5</v>
      </c>
      <c r="F11" s="13">
        <f t="shared" si="0"/>
        <v>1155</v>
      </c>
    </row>
    <row r="12" spans="1:6" ht="15">
      <c r="A12" s="7" t="s">
        <v>160</v>
      </c>
      <c r="B12" s="224">
        <f>SUM(B4:B11)</f>
        <v>55440</v>
      </c>
      <c r="C12" s="224">
        <f>SUM(C4:C11)</f>
        <v>9000</v>
      </c>
      <c r="D12" s="222">
        <f>SUM(D4:D11)</f>
        <v>577.5</v>
      </c>
      <c r="E12" s="222">
        <f>SUM(E4:E11)</f>
        <v>577.5</v>
      </c>
      <c r="F12" s="222">
        <f t="shared" si="0"/>
        <v>65595</v>
      </c>
    </row>
    <row r="13" spans="2:5" ht="12.75">
      <c r="B13" s="82"/>
      <c r="C13" s="82"/>
      <c r="D13" s="82"/>
      <c r="E13" s="82"/>
    </row>
    <row r="14" ht="12.75">
      <c r="A14" s="175" t="s">
        <v>29</v>
      </c>
    </row>
    <row r="15" spans="1:6" ht="12.75">
      <c r="A15" s="1" t="str">
        <f>'Chart of Accounts'!$C$4</f>
        <v>Salaries</v>
      </c>
      <c r="B15" s="225">
        <f>'Staff Expenses'!E38</f>
        <v>28820.212499999998</v>
      </c>
      <c r="C15" s="225">
        <f>'Staff Expenses'!F38</f>
        <v>34372.049999999996</v>
      </c>
      <c r="D15" s="225">
        <f>'Staff Expenses'!G38</f>
        <v>25975.762499999997</v>
      </c>
      <c r="E15" s="225">
        <f>'Staff Expenses'!H38</f>
        <v>15862.162499999999</v>
      </c>
      <c r="F15" s="225">
        <f aca="true" t="shared" si="1" ref="F15:F20">SUM(B15:E15)</f>
        <v>105030.1875</v>
      </c>
    </row>
    <row r="16" spans="1:6" ht="12.75">
      <c r="A16" s="1" t="str">
        <f>'Chart of Accounts'!$C$5</f>
        <v>Taxes</v>
      </c>
      <c r="B16" s="163">
        <f>'Staff Expenses'!E48</f>
        <v>3659.4967500000002</v>
      </c>
      <c r="C16" s="163">
        <f>'Staff Expenses'!F48</f>
        <v>4364.451</v>
      </c>
      <c r="D16" s="163">
        <f>'Staff Expenses'!G48</f>
        <v>3298.3177499999997</v>
      </c>
      <c r="E16" s="163">
        <f>'Staff Expenses'!H48</f>
        <v>2014.12575</v>
      </c>
      <c r="F16" s="163">
        <f t="shared" si="1"/>
        <v>13336.391249999999</v>
      </c>
    </row>
    <row r="17" spans="1:6" ht="12.75">
      <c r="A17" s="1" t="str">
        <f>'Chart of Accounts'!$C$6</f>
        <v>Benefits</v>
      </c>
      <c r="B17" s="163">
        <f>'Staff Expenses'!E58</f>
        <v>1440</v>
      </c>
      <c r="C17" s="163">
        <f>'Staff Expenses'!F58</f>
        <v>1800</v>
      </c>
      <c r="D17" s="163">
        <f>'Staff Expenses'!G58</f>
        <v>1290</v>
      </c>
      <c r="E17" s="163">
        <f>'Staff Expenses'!H58</f>
        <v>810</v>
      </c>
      <c r="F17" s="163">
        <f t="shared" si="1"/>
        <v>5340</v>
      </c>
    </row>
    <row r="18" spans="1:6" ht="12.75">
      <c r="A18" s="1" t="str">
        <f>'Chart of Accounts'!$C$7</f>
        <v>Temps.</v>
      </c>
      <c r="B18" s="163"/>
      <c r="C18" s="163"/>
      <c r="D18" s="163"/>
      <c r="E18" s="163"/>
      <c r="F18" s="163">
        <f t="shared" si="1"/>
        <v>0</v>
      </c>
    </row>
    <row r="19" spans="1:6" ht="13.5" thickBot="1">
      <c r="A19" s="1" t="str">
        <f>'Chart of Accounts'!$C$8</f>
        <v>Hiring Costs</v>
      </c>
      <c r="B19" s="226"/>
      <c r="C19" s="226"/>
      <c r="D19" s="226"/>
      <c r="E19" s="226"/>
      <c r="F19" s="226">
        <f t="shared" si="1"/>
        <v>0</v>
      </c>
    </row>
    <row r="20" spans="1:6" ht="12.75">
      <c r="A20" s="176" t="str">
        <f>'Chart of Accounts'!C3</f>
        <v>Salaries, Taxes, and Benefits</v>
      </c>
      <c r="B20" s="163">
        <f>SUM(B15:B19)</f>
        <v>33919.70925</v>
      </c>
      <c r="C20" s="163">
        <f>SUM(C15:C19)</f>
        <v>40536.501</v>
      </c>
      <c r="D20" s="163">
        <f>SUM(D15:D19)</f>
        <v>30564.080249999995</v>
      </c>
      <c r="E20" s="163">
        <f>SUM(E15:E19)</f>
        <v>18686.288249999998</v>
      </c>
      <c r="F20" s="163">
        <f t="shared" si="1"/>
        <v>123706.57875</v>
      </c>
    </row>
    <row r="21" spans="2:6" ht="12.75">
      <c r="B21" s="163"/>
      <c r="C21" s="163"/>
      <c r="D21" s="163"/>
      <c r="E21" s="163"/>
      <c r="F21" s="116"/>
    </row>
    <row r="22" spans="1:6" ht="12.75">
      <c r="A22" s="1" t="str">
        <f>'Chart of Accounts'!$C$11</f>
        <v>Account.</v>
      </c>
      <c r="B22" s="163"/>
      <c r="C22" s="163"/>
      <c r="D22" s="163"/>
      <c r="E22" s="163"/>
      <c r="F22" s="163">
        <f aca="true" t="shared" si="2" ref="F22:F27">SUM(B22:E22)</f>
        <v>0</v>
      </c>
    </row>
    <row r="23" spans="1:6" ht="12.75">
      <c r="A23" s="1" t="str">
        <f>'Chart of Accounts'!$C$12</f>
        <v>Legal</v>
      </c>
      <c r="B23" s="163"/>
      <c r="C23" s="163"/>
      <c r="D23" s="163"/>
      <c r="E23" s="163"/>
      <c r="F23" s="163">
        <f t="shared" si="2"/>
        <v>0</v>
      </c>
    </row>
    <row r="24" spans="1:6" ht="12.75">
      <c r="A24" s="1" t="str">
        <f>'Chart of Accounts'!$C$13</f>
        <v>Mgmt.</v>
      </c>
      <c r="B24" s="163"/>
      <c r="C24" s="163"/>
      <c r="D24" s="163"/>
      <c r="E24" s="163"/>
      <c r="F24" s="163">
        <f t="shared" si="2"/>
        <v>0</v>
      </c>
    </row>
    <row r="25" spans="1:6" ht="12.75">
      <c r="A25" s="1" t="str">
        <f>'Chart of Accounts'!$C$14</f>
        <v>Data Proc.</v>
      </c>
      <c r="B25" s="163"/>
      <c r="C25" s="163"/>
      <c r="D25" s="163"/>
      <c r="E25" s="163"/>
      <c r="F25" s="163">
        <f t="shared" si="2"/>
        <v>0</v>
      </c>
    </row>
    <row r="26" spans="1:6" ht="12.75">
      <c r="A26" s="1" t="str">
        <f>'Chart of Accounts'!$C$15</f>
        <v>Acq. Services</v>
      </c>
      <c r="B26" s="163"/>
      <c r="C26" s="163"/>
      <c r="D26" s="163"/>
      <c r="E26" s="163"/>
      <c r="F26" s="163">
        <f t="shared" si="2"/>
        <v>0</v>
      </c>
    </row>
    <row r="27" spans="1:6" ht="13.5" thickBot="1">
      <c r="A27" s="1" t="str">
        <f>'Chart of Accounts'!$C$16</f>
        <v>Other PS</v>
      </c>
      <c r="B27" s="226">
        <f>DSUM(Outreach,'Outreach Projects'!$D$3,D68:E81)+DSUM(Outreach,'Outreach Projects'!$D$3,$B$68:$C$69)*12</f>
        <v>0</v>
      </c>
      <c r="C27" s="226">
        <f>DSUM(Outreach,'Outreach Projects'!$D$3,F68:G81)+DSUM(Outreach,'Outreach Projects'!$D$3,$B$71:$C$72)*12</f>
        <v>0</v>
      </c>
      <c r="D27" s="226">
        <f>DSUM(Outreach,'Outreach Projects'!$D$3,H68:I81)+DSUM(Outreach,'Outreach Projects'!$D$3,$B$74:$C$75)*12</f>
        <v>0</v>
      </c>
      <c r="E27" s="226">
        <f>DSUM(Outreach,'Outreach Projects'!$D$3,J68:K81)+DSUM(Outreach,'Outreach Projects'!$D$3,$B$77:$C$78)*12</f>
        <v>0</v>
      </c>
      <c r="F27" s="226">
        <f t="shared" si="2"/>
        <v>0</v>
      </c>
    </row>
    <row r="28" spans="1:6" ht="12.75">
      <c r="A28" s="176" t="str">
        <f>'Chart of Accounts'!C10</f>
        <v>Professional Services</v>
      </c>
      <c r="B28" s="163">
        <f>SUM(B22:B27)</f>
        <v>0</v>
      </c>
      <c r="C28" s="163">
        <f>SUM(C22:C27)</f>
        <v>0</v>
      </c>
      <c r="D28" s="163">
        <f>SUM(D22:D27)</f>
        <v>0</v>
      </c>
      <c r="E28" s="163">
        <f>SUM(E22:E27)</f>
        <v>0</v>
      </c>
      <c r="F28" s="163">
        <f>SUM(F22:F27)</f>
        <v>0</v>
      </c>
    </row>
    <row r="29" spans="2:6" ht="12.75">
      <c r="B29" s="163"/>
      <c r="C29" s="163"/>
      <c r="D29" s="163"/>
      <c r="E29" s="163"/>
      <c r="F29" s="163"/>
    </row>
    <row r="30" spans="1:6" ht="12.75">
      <c r="A30" s="1" t="str">
        <f>'Chart of Accounts'!$C$19</f>
        <v>Long Distance</v>
      </c>
      <c r="B30" s="163">
        <f>'Shared &amp; Allocation'!E21*12</f>
        <v>186.1538010179733</v>
      </c>
      <c r="C30" s="163">
        <f>'Shared &amp; Allocation'!F21*12</f>
        <v>222.4672294653845</v>
      </c>
      <c r="D30" s="163">
        <f>'Shared &amp; Allocation'!G21*12</f>
        <v>167.73786801123205</v>
      </c>
      <c r="E30" s="163">
        <f>'Shared &amp; Allocation'!H21*12</f>
        <v>102.55169226295749</v>
      </c>
      <c r="F30" s="163">
        <f>SUM(B30:E30)</f>
        <v>678.9105907575474</v>
      </c>
    </row>
    <row r="31" spans="1:6" ht="13.5" thickBot="1">
      <c r="A31" s="1" t="str">
        <f>'Chart of Accounts'!$C$20</f>
        <v>Internet Access</v>
      </c>
      <c r="B31" s="226">
        <f>'Shared &amp; Allocation'!E22*12</f>
        <v>62.0512670059911</v>
      </c>
      <c r="C31" s="226">
        <f>'Shared &amp; Allocation'!F22*12</f>
        <v>74.15574315512816</v>
      </c>
      <c r="D31" s="226">
        <f>'Shared &amp; Allocation'!G22*12</f>
        <v>55.912622670410684</v>
      </c>
      <c r="E31" s="226">
        <f>'Shared &amp; Allocation'!H22*12</f>
        <v>34.18389742098582</v>
      </c>
      <c r="F31" s="226">
        <f>SUM(B31:E31)</f>
        <v>226.30353025251577</v>
      </c>
    </row>
    <row r="32" spans="1:6" ht="12.75">
      <c r="A32" s="176" t="str">
        <f>'Chart of Accounts'!C18</f>
        <v>Telephone</v>
      </c>
      <c r="B32" s="163">
        <f>SUM(B30:B31)</f>
        <v>248.2050680239644</v>
      </c>
      <c r="C32" s="163">
        <f>SUM(C30:C31)</f>
        <v>296.62297262051266</v>
      </c>
      <c r="D32" s="163">
        <f>SUM(D30:D31)</f>
        <v>223.65049068164274</v>
      </c>
      <c r="E32" s="163">
        <f>SUM(E30:E31)</f>
        <v>136.73558968394332</v>
      </c>
      <c r="F32" s="163">
        <f>SUM(F30:F31)</f>
        <v>905.2141210100632</v>
      </c>
    </row>
    <row r="33" spans="2:6" ht="12.75">
      <c r="B33" s="163"/>
      <c r="C33" s="163"/>
      <c r="D33" s="163"/>
      <c r="E33" s="163"/>
      <c r="F33" s="163"/>
    </row>
    <row r="34" spans="1:6" ht="12.75">
      <c r="A34" s="1" t="str">
        <f>'Chart of Accounts'!$C$23</f>
        <v>Rent</v>
      </c>
      <c r="B34" s="163">
        <f>'Shared &amp; Allocation'!E23*12</f>
        <v>434.3588690419377</v>
      </c>
      <c r="C34" s="163">
        <f>'Shared &amp; Allocation'!F23*12</f>
        <v>519.0902020858972</v>
      </c>
      <c r="D34" s="163">
        <f>'Shared &amp; Allocation'!G23*12</f>
        <v>391.3883586928748</v>
      </c>
      <c r="E34" s="163">
        <f>'Shared &amp; Allocation'!H23*12</f>
        <v>239.28728194690075</v>
      </c>
      <c r="F34" s="163">
        <f>SUM(B34:E34)</f>
        <v>1584.1247117676105</v>
      </c>
    </row>
    <row r="35" spans="1:6" ht="12.75">
      <c r="A35" s="1" t="str">
        <f>'Chart of Accounts'!$C$24</f>
        <v>Repair/Maintenance</v>
      </c>
      <c r="B35" s="163">
        <f>'Shared &amp; Allocation'!E24*12</f>
        <v>93.07690050898665</v>
      </c>
      <c r="C35" s="163">
        <f>'Shared &amp; Allocation'!F24*12</f>
        <v>111.23361473269225</v>
      </c>
      <c r="D35" s="163">
        <f>'Shared &amp; Allocation'!G24*12</f>
        <v>83.86893400561603</v>
      </c>
      <c r="E35" s="163">
        <f>'Shared &amp; Allocation'!H24*12</f>
        <v>51.275846131478744</v>
      </c>
      <c r="F35" s="163">
        <f>SUM(B35:E35)</f>
        <v>339.4552953787737</v>
      </c>
    </row>
    <row r="36" spans="1:6" ht="12.75">
      <c r="A36" s="1" t="str">
        <f>'Chart of Accounts'!$C$25</f>
        <v>Utilities</v>
      </c>
      <c r="B36" s="163">
        <f>'Shared &amp; Allocation'!E25*12</f>
        <v>124.1025340119822</v>
      </c>
      <c r="C36" s="163">
        <f>'Shared &amp; Allocation'!F25*12</f>
        <v>148.31148631025633</v>
      </c>
      <c r="D36" s="163">
        <f>'Shared &amp; Allocation'!G25*12</f>
        <v>111.82524534082137</v>
      </c>
      <c r="E36" s="163">
        <f>'Shared &amp; Allocation'!H25*12</f>
        <v>68.36779484197164</v>
      </c>
      <c r="F36" s="163">
        <f>SUM(B36:E36)</f>
        <v>452.60706050503154</v>
      </c>
    </row>
    <row r="37" spans="1:6" ht="13.5" thickBot="1">
      <c r="A37" s="1" t="str">
        <f>'Chart of Accounts'!$C$26</f>
        <v>Room Rentals</v>
      </c>
      <c r="B37" s="226">
        <f>DSUM(Outreach,'Outreach Projects'!E3,D68:E81)+DSUM(Outreach,'Outreach Projects'!E3,$B$68:$C$69)*12</f>
        <v>0</v>
      </c>
      <c r="C37" s="226">
        <f>DSUM(Outreach,'Outreach Projects'!E3,F68:G81)+DSUM(Outreach,'Outreach Projects'!E3,$B$71:$C$72)*12</f>
        <v>250</v>
      </c>
      <c r="D37" s="226">
        <f>DSUM(Outreach,'Outreach Projects'!E3,H68:I81)+DSUM(Outreach,'Outreach Projects'!E3,$B$74:$C$75)*12</f>
        <v>0</v>
      </c>
      <c r="E37" s="226">
        <f>DSUM(Outreach,'Outreach Projects'!E3,J68:K81)+DSUM(Outreach,'Outreach Projects'!E3,$B$77:$C$78)*12</f>
        <v>0</v>
      </c>
      <c r="F37" s="226">
        <f>SUM(B37:E37)</f>
        <v>250</v>
      </c>
    </row>
    <row r="38" spans="1:6" ht="12.75">
      <c r="A38" s="176" t="str">
        <f>'Chart of Accounts'!C22</f>
        <v>Occupancy</v>
      </c>
      <c r="B38" s="163">
        <f>SUM(B34:B37)</f>
        <v>651.5383035629065</v>
      </c>
      <c r="C38" s="163">
        <f>SUM(C34:C37)</f>
        <v>1028.6353031288459</v>
      </c>
      <c r="D38" s="163">
        <f>SUM(D34:D37)</f>
        <v>587.0825380393122</v>
      </c>
      <c r="E38" s="163">
        <f>SUM(E34:E37)</f>
        <v>358.9309229203511</v>
      </c>
      <c r="F38" s="163">
        <f>SUM(F34:F37)</f>
        <v>2626.1870676514154</v>
      </c>
    </row>
    <row r="39" spans="2:6" ht="12.75">
      <c r="B39" s="163"/>
      <c r="C39" s="163"/>
      <c r="D39" s="163"/>
      <c r="E39" s="163"/>
      <c r="F39" s="163"/>
    </row>
    <row r="40" spans="1:6" ht="12.75">
      <c r="A40" s="1" t="str">
        <f>'Chart of Accounts'!$D$4</f>
        <v>Equipment Purchase</v>
      </c>
      <c r="B40" s="163">
        <f>'Shared &amp; Allocation'!E26*12</f>
        <v>186.1538010179733</v>
      </c>
      <c r="C40" s="163">
        <f>'Shared &amp; Allocation'!F26*12</f>
        <v>222.4672294653845</v>
      </c>
      <c r="D40" s="163">
        <f>'Shared &amp; Allocation'!G26*12</f>
        <v>167.73786801123205</v>
      </c>
      <c r="E40" s="163">
        <f>'Shared &amp; Allocation'!H26*12</f>
        <v>102.55169226295749</v>
      </c>
      <c r="F40" s="163">
        <f>SUM(B40:E40)</f>
        <v>678.9105907575474</v>
      </c>
    </row>
    <row r="41" spans="1:6" ht="12.75">
      <c r="A41" s="1" t="str">
        <f>'Chart of Accounts'!$D$5</f>
        <v>Equipment Maintenance/Repair</v>
      </c>
      <c r="B41" s="163">
        <f>'Shared &amp; Allocation'!E27*12</f>
        <v>43.43588690419377</v>
      </c>
      <c r="C41" s="163">
        <f>'Shared &amp; Allocation'!F27*12</f>
        <v>51.909020208589716</v>
      </c>
      <c r="D41" s="163">
        <f>'Shared &amp; Allocation'!G27*12</f>
        <v>39.138835869287476</v>
      </c>
      <c r="E41" s="163">
        <f>'Shared &amp; Allocation'!H27*12</f>
        <v>23.928728194690077</v>
      </c>
      <c r="F41" s="163">
        <f>SUM(B41:E41)</f>
        <v>158.41247117676104</v>
      </c>
    </row>
    <row r="42" spans="1:6" ht="13.5" thickBot="1">
      <c r="A42" s="1" t="str">
        <f>'Chart of Accounts'!$D$6</f>
        <v>Depreciation</v>
      </c>
      <c r="B42" s="226">
        <f>'Shared &amp; Allocation'!E28*12</f>
        <v>186.1538010179733</v>
      </c>
      <c r="C42" s="226">
        <f>'Shared &amp; Allocation'!F28*12</f>
        <v>222.4672294653845</v>
      </c>
      <c r="D42" s="226">
        <f>'Shared &amp; Allocation'!G28*12</f>
        <v>167.73786801123205</v>
      </c>
      <c r="E42" s="226">
        <f>'Shared &amp; Allocation'!H28*12</f>
        <v>102.55169226295749</v>
      </c>
      <c r="F42" s="226">
        <f>SUM(B42:E42)</f>
        <v>678.9105907575474</v>
      </c>
    </row>
    <row r="43" spans="1:6" ht="12.75">
      <c r="A43" s="176" t="str">
        <f>'Chart of Accounts'!D3</f>
        <v>Equipment</v>
      </c>
      <c r="B43" s="163">
        <f>SUM(B40:B42)</f>
        <v>415.7434889401404</v>
      </c>
      <c r="C43" s="163">
        <f>SUM(C40:C42)</f>
        <v>496.8434791393587</v>
      </c>
      <c r="D43" s="163">
        <f>SUM(D40:D42)</f>
        <v>374.61457189175155</v>
      </c>
      <c r="E43" s="163">
        <f>SUM(E40:E42)</f>
        <v>229.03211272060506</v>
      </c>
      <c r="F43" s="163">
        <f>SUM(F40:F42)</f>
        <v>1516.233652691856</v>
      </c>
    </row>
    <row r="44" spans="2:6" ht="12.75">
      <c r="B44" s="163"/>
      <c r="C44" s="163"/>
      <c r="D44" s="163"/>
      <c r="E44" s="163"/>
      <c r="F44" s="163"/>
    </row>
    <row r="45" spans="1:6" ht="12.75">
      <c r="A45" s="1" t="str">
        <f>'Chart of Accounts'!$D$9</f>
        <v>Supplies </v>
      </c>
      <c r="B45" s="163">
        <f>DSUM(Outreach,'Outreach Projects'!F3,D68:E81)+DSUM(Outreach,'Outreach Projects'!F3,$B$68:$C$69)*12+'Shared &amp; Allocation'!E29*12</f>
        <v>93.07690050898665</v>
      </c>
      <c r="C45" s="163">
        <f>DSUM(Outreach,'Outreach Projects'!F3,F68:G81)+DSUM(Outreach,'Outreach Projects'!F3,$B$71:$C$72)*12+'Shared &amp; Allocation'!F29*12</f>
        <v>111.23361473269225</v>
      </c>
      <c r="D45" s="163">
        <f>DSUM(Outreach,'Outreach Projects'!F3,H68:I81)+DSUM(Outreach,'Outreach Projects'!F3,$B$74:$C$75)*12+'Shared &amp; Allocation'!G29*12</f>
        <v>83.86893400561603</v>
      </c>
      <c r="E45" s="163">
        <f>DSUM(Outreach,'Outreach Projects'!F3,J68:K81)+DSUM(Outreach,'Outreach Projects'!F3,$B$77:$C$78)*12+'Shared &amp; Allocation'!H29*12</f>
        <v>51.275846131478744</v>
      </c>
      <c r="F45" s="163">
        <f>SUM(B45:E45)</f>
        <v>339.4552953787737</v>
      </c>
    </row>
    <row r="46" spans="1:6" ht="12.75">
      <c r="A46" s="1" t="str">
        <f>'Chart of Accounts'!$D$10</f>
        <v>Insurance</v>
      </c>
      <c r="B46" s="163">
        <f>'Shared &amp; Allocation'!E30*12</f>
        <v>310.2563350299555</v>
      </c>
      <c r="C46" s="163">
        <f>'Shared &amp; Allocation'!F30*12</f>
        <v>370.7787157756409</v>
      </c>
      <c r="D46" s="163">
        <f>'Shared &amp; Allocation'!G30*12</f>
        <v>279.56311335205345</v>
      </c>
      <c r="E46" s="163">
        <f>'Shared &amp; Allocation'!H30*12</f>
        <v>170.91948710492912</v>
      </c>
      <c r="F46" s="163">
        <f>SUM(B46:E46)</f>
        <v>1131.517651262579</v>
      </c>
    </row>
    <row r="47" spans="1:6" ht="12.75">
      <c r="A47" s="1" t="str">
        <f>'Chart of Accounts'!$D$11</f>
        <v>Food</v>
      </c>
      <c r="B47" s="163">
        <f>DSUM(Outreach,'Outreach Projects'!G3,D68:E81)+DSUM(Outreach,'Outreach Projects'!G3,$B$68:$C$69)*12</f>
        <v>600</v>
      </c>
      <c r="C47" s="163">
        <f>DSUM(Outreach,'Outreach Projects'!G3,F68:G81)+DSUM(Outreach,'Outreach Projects'!G3,$B$71:$C$72)*12</f>
        <v>0</v>
      </c>
      <c r="D47" s="163">
        <f>DSUM(Outreach,'Outreach Projects'!G3,H68:I81)+DSUM(Outreach,'Outreach Projects'!G3,$B$74:$C$75)*12</f>
        <v>0</v>
      </c>
      <c r="E47" s="163">
        <f>DSUM(Outreach,'Outreach Projects'!G3,J68:K81)+DSUM(Outreach,'Outreach Projects'!G3,$B$77:$C$78)*12</f>
        <v>0</v>
      </c>
      <c r="F47" s="163">
        <f>SUM(B47:E47)</f>
        <v>600</v>
      </c>
    </row>
    <row r="48" spans="1:6" ht="12.75">
      <c r="A48" s="1" t="str">
        <f>'Chart of Accounts'!$D$12</f>
        <v>Misc. Exp.</v>
      </c>
      <c r="B48" s="163">
        <f>'Shared &amp; Allocation'!E31*12+DSUM(Outreach,'Outreach Projects'!$H$3,B68:C69)*12+DSUM(Outreach,'Outreach Projects'!$H$3,D68:E81)</f>
        <v>62.0512670059911</v>
      </c>
      <c r="C48" s="163">
        <f>'Shared &amp; Allocation'!F31*12+DSUM(Outreach,'Outreach Projects'!$H$3,B71:C72)*12+DSUM(Outreach,'Outreach Projects'!$H$3,F68:G81)</f>
        <v>74.15574315512816</v>
      </c>
      <c r="D48" s="163">
        <f>'Shared &amp; Allocation'!G31*12+DSUM(Outreach,'Outreach Projects'!$H$3,B74:C75)*12+DSUM(Outreach,'Outreach Projects'!$H$3,H68:I81)</f>
        <v>55.912622670410684</v>
      </c>
      <c r="E48" s="163">
        <f>'Shared &amp; Allocation'!H31*12+DSUM(Outreach,'Outreach Projects'!$H$3,B77:C78)*12+DSUM(Outreach,'Outreach Projects'!$H$3,J68:K81)</f>
        <v>34.18389742098582</v>
      </c>
      <c r="F48" s="163">
        <f>SUM(B48:E48)</f>
        <v>226.30353025251577</v>
      </c>
    </row>
    <row r="49" spans="1:6" ht="13.5" thickBot="1">
      <c r="A49" s="1" t="str">
        <f>'Chart of Accounts'!$D$13</f>
        <v>Fees</v>
      </c>
      <c r="B49" s="226">
        <f>DSUM(Outreach,'Outreach Projects'!I3,D68:E81)+DSUM(Outreach,'Outreach Projects'!I3,$B$68:$C$69)*12</f>
        <v>0</v>
      </c>
      <c r="C49" s="226">
        <f>DSUM(Outreach,'Outreach Projects'!I3,F68:G81)+DSUM(Outreach,'Outreach Projects'!I3,$B$71:$C$72)*12</f>
        <v>0</v>
      </c>
      <c r="D49" s="226">
        <f>DSUM(Outreach,'Outreach Projects'!I3,H68:I81)+DSUM(Outreach,'Outreach Projects'!I3,$B$74:$C$75)*12</f>
        <v>0</v>
      </c>
      <c r="E49" s="226">
        <f>DSUM(Outreach,'Outreach Projects'!I3,J68:K81)+DSUM(Outreach,'Outreach Projects'!I3,$B$77:$C$78)*12</f>
        <v>350</v>
      </c>
      <c r="F49" s="226">
        <f>SUM(B49:E49)</f>
        <v>350</v>
      </c>
    </row>
    <row r="50" spans="1:6" ht="12.75">
      <c r="A50" s="176" t="str">
        <f>'Chart of Accounts'!D8</f>
        <v>General  / Misc.</v>
      </c>
      <c r="B50" s="163">
        <f>SUM(B45:B49)</f>
        <v>1065.3845025449332</v>
      </c>
      <c r="C50" s="163">
        <f>SUM(C45:C49)</f>
        <v>556.1680736634612</v>
      </c>
      <c r="D50" s="163">
        <f>SUM(D45:D49)</f>
        <v>419.34467002808015</v>
      </c>
      <c r="E50" s="163">
        <f>SUM(E45:E49)</f>
        <v>606.3792306573937</v>
      </c>
      <c r="F50" s="163">
        <f>SUM(F45:F49)</f>
        <v>2647.2764768938687</v>
      </c>
    </row>
    <row r="51" spans="1:6" ht="12.75">
      <c r="A51" s="3"/>
      <c r="B51" s="163"/>
      <c r="C51" s="163"/>
      <c r="D51" s="163"/>
      <c r="E51" s="163"/>
      <c r="F51" s="163"/>
    </row>
    <row r="52" spans="1:6" ht="12.75">
      <c r="A52" s="177" t="str">
        <f>'Chart of Accounts'!D16</f>
        <v>Postage</v>
      </c>
      <c r="B52" s="163">
        <f>DSUM(Outreach,'Outreach Projects'!J3,D68:E81)+DSUM(Outreach,'Outreach Projects'!J3,$B$68:$C$69)*12+'Shared &amp; Allocation'!E32*12</f>
        <v>155.12816751497775</v>
      </c>
      <c r="C52" s="163">
        <f>DSUM(Outreach,'Outreach Projects'!J3,F68:G81)+DSUM(Outreach,'Outreach Projects'!J3,$B$71:$C$72)*12+'Shared &amp; Allocation'!F32*12</f>
        <v>185.38935788782044</v>
      </c>
      <c r="D52" s="163">
        <f>DSUM(Outreach,'Outreach Projects'!J3,H68:I81)+DSUM(Outreach,'Outreach Projects'!J3,$B$74:$C$75)*12+'Shared &amp; Allocation'!G32*12</f>
        <v>139.78155667602672</v>
      </c>
      <c r="E52" s="163">
        <f>DSUM(Outreach,'Outreach Projects'!J3,J68:K81)+DSUM(Outreach,'Outreach Projects'!J3,$B$77:$C$78)*12+'Shared &amp; Allocation'!H32*12</f>
        <v>85.45974355246456</v>
      </c>
      <c r="F52" s="163">
        <f>SUM(B52:E52)</f>
        <v>565.7588256312895</v>
      </c>
    </row>
    <row r="53" spans="2:6" ht="12.75">
      <c r="B53" s="163"/>
      <c r="C53" s="163"/>
      <c r="D53" s="163"/>
      <c r="E53" s="163"/>
      <c r="F53" s="163"/>
    </row>
    <row r="54" spans="1:6" ht="12.75">
      <c r="A54" s="176" t="str">
        <f>'Chart of Accounts'!D18</f>
        <v>Travel</v>
      </c>
      <c r="B54" s="163">
        <f>DSUM(Outreach,'Outreach Projects'!K3,D68:E81)+DSUM(Outreach,'Outreach Projects'!K3,$B$68:$C$69)*12</f>
        <v>0</v>
      </c>
      <c r="C54" s="163">
        <f>DSUM(Outreach,'Outreach Projects'!K3,F68:G81)+DSUM(Outreach,'Outreach Projects'!K3,$B$71:$C$72)*12</f>
        <v>0</v>
      </c>
      <c r="D54" s="163">
        <f>DSUM(Outreach,'Outreach Projects'!K3,H68:I81)+DSUM(Outreach,'Outreach Projects'!K3,$B$74:$C$75)*12</f>
        <v>0</v>
      </c>
      <c r="E54" s="163">
        <f>DSUM(Outreach,'Outreach Projects'!K3,J68:K81)+DSUM(Outreach,'Outreach Projects'!K3,$B$77:$C$78)*12</f>
        <v>0</v>
      </c>
      <c r="F54" s="163">
        <f>SUM(B54:E54)</f>
        <v>0</v>
      </c>
    </row>
    <row r="55" spans="1:6" ht="12.75">
      <c r="A55" s="3"/>
      <c r="B55" s="163"/>
      <c r="C55" s="163"/>
      <c r="D55" s="163"/>
      <c r="E55" s="163"/>
      <c r="F55" s="163"/>
    </row>
    <row r="56" spans="1:6" ht="12.75">
      <c r="A56" s="1" t="str">
        <f>'Chart of Accounts'!$D$21</f>
        <v>Printing</v>
      </c>
      <c r="B56" s="163">
        <f>DSUM(Outreach,'Outreach Projects'!L3,D68:E81)+DSUM(Outreach,'Outreach Projects'!L3,$B$68:$C$69)*12+'Shared &amp; Allocation'!E33*12</f>
        <v>62.0512670059911</v>
      </c>
      <c r="C56" s="163">
        <f>DSUM(Outreach,'Outreach Projects'!L3,F68:G81)+DSUM(Outreach,'Outreach Projects'!L3,$B$71:$C$72)*12+'Shared &amp; Allocation'!F33*12</f>
        <v>74.15574315512816</v>
      </c>
      <c r="D56" s="163">
        <f>DSUM(Outreach,'Outreach Projects'!L3,H68:I81)+DSUM(Outreach,'Outreach Projects'!L3,$B$74:$C$75)*12+'Shared &amp; Allocation'!G33*12</f>
        <v>55.912622670410684</v>
      </c>
      <c r="E56" s="163">
        <f>DSUM(Outreach,'Outreach Projects'!L3,J68:K81)+DSUM(Outreach,'Outreach Projects'!L3,$B$77:$C$78)*12+'Shared &amp; Allocation'!H33*12</f>
        <v>34.18389742098582</v>
      </c>
      <c r="F56" s="163">
        <f>SUM(B56:E56)</f>
        <v>226.30353025251577</v>
      </c>
    </row>
    <row r="57" spans="1:6" ht="12.75">
      <c r="A57" s="1" t="str">
        <f>'Chart of Accounts'!$D$22</f>
        <v>Media </v>
      </c>
      <c r="B57" s="163">
        <f>DSUM(Outreach,'Outreach Projects'!M3,D68:E81)+DSUM(Outreach,'Outreach Projects'!M3,$B$68:$C$69)*12</f>
        <v>0</v>
      </c>
      <c r="C57" s="163">
        <f>DSUM(Outreach,'Outreach Projects'!M3,F68:G81)+DSUM(Outreach,'Outreach Projects'!M3,$B$71:$C$72)*12</f>
        <v>0</v>
      </c>
      <c r="D57" s="163">
        <f>DSUM(Outreach,'Outreach Projects'!M3,H68:I81)+DSUM(Outreach,'Outreach Projects'!M3,$B$74:$C$75)*12</f>
        <v>0</v>
      </c>
      <c r="E57" s="163">
        <f>DSUM(Outreach,'Outreach Projects'!M3,J68:K81)+DSUM(Outreach,'Outreach Projects'!M3,$B$77:$C$78)*12</f>
        <v>0</v>
      </c>
      <c r="F57" s="163">
        <f>SUM(B57:E57)</f>
        <v>0</v>
      </c>
    </row>
    <row r="58" spans="1:6" ht="12.75">
      <c r="A58" s="1" t="str">
        <f>'Chart of Accounts'!$D$23</f>
        <v>Conf./Training</v>
      </c>
      <c r="B58" s="163">
        <f>DSUM(Outreach,'Outreach Projects'!N3,D68:E81)+DSUM(Outreach,'Outreach Projects'!N3,$B$68:$C$69)*12</f>
        <v>0</v>
      </c>
      <c r="C58" s="163">
        <f>DSUM(Outreach,'Outreach Projects'!N3,F68:G81)+DSUM(Outreach,'Outreach Projects'!N3,$B$71:$C$72)*12</f>
        <v>0</v>
      </c>
      <c r="D58" s="163">
        <f>DSUM(Outreach,'Outreach Projects'!N3,H68:I81)+DSUM(Outreach,'Outreach Projects'!N3,$B$74:$C$75)*12</f>
        <v>0</v>
      </c>
      <c r="E58" s="163">
        <f>DSUM(Outreach,'Outreach Projects'!N3,J68:K81)+DSUM(Outreach,'Outreach Projects'!N3,$B$77:$C$78)*12</f>
        <v>0</v>
      </c>
      <c r="F58" s="163">
        <f>SUM(B58:E58)</f>
        <v>0</v>
      </c>
    </row>
    <row r="59" spans="1:6" ht="13.5" thickBot="1">
      <c r="A59" s="1" t="str">
        <f>'Chart of Accounts'!$D$24</f>
        <v>Property Acq.</v>
      </c>
      <c r="B59" s="226"/>
      <c r="C59" s="226"/>
      <c r="D59" s="226"/>
      <c r="E59" s="226"/>
      <c r="F59" s="226">
        <f>SUM(B59:E59)</f>
        <v>0</v>
      </c>
    </row>
    <row r="60" spans="1:6" ht="12.75">
      <c r="A60" s="176" t="str">
        <f>'Chart of Accounts'!D20</f>
        <v>Project Expenses</v>
      </c>
      <c r="B60" s="163">
        <f>SUM(B56:B59)</f>
        <v>62.0512670059911</v>
      </c>
      <c r="C60" s="163">
        <f>SUM(C56:C59)</f>
        <v>74.15574315512816</v>
      </c>
      <c r="D60" s="163">
        <f>SUM(D56:D59)</f>
        <v>55.912622670410684</v>
      </c>
      <c r="E60" s="163">
        <f>SUM(E56:E59)</f>
        <v>34.18389742098582</v>
      </c>
      <c r="F60" s="163">
        <f>SUM(F56:F59)</f>
        <v>226.30353025251577</v>
      </c>
    </row>
    <row r="61" spans="2:5" ht="12.75">
      <c r="B61" s="49"/>
      <c r="C61" s="49"/>
      <c r="D61" s="49"/>
      <c r="E61" s="49"/>
    </row>
    <row r="62" spans="1:6" ht="15">
      <c r="A62" s="7" t="s">
        <v>44</v>
      </c>
      <c r="B62" s="222">
        <f>B20+B28+B32+B38++B43+B50+B52+B54+B60</f>
        <v>36517.760047592914</v>
      </c>
      <c r="C62" s="222">
        <f>C20+C28+C32+C38+C43+C50+C52+C54+C60</f>
        <v>43174.31592959512</v>
      </c>
      <c r="D62" s="222">
        <f>D20+D28+D32+D38+D43+D50+D52+D54+D60</f>
        <v>32364.466699987217</v>
      </c>
      <c r="E62" s="222">
        <f>E20+E28+E32+E38+E43+E50+E52+E54+E60</f>
        <v>20137.009746955737</v>
      </c>
      <c r="F62" s="222">
        <f>F20+F28+F32+F38+F43+F50+F52+F54+F60</f>
        <v>132193.552424131</v>
      </c>
    </row>
    <row r="64" spans="1:6" ht="15">
      <c r="A64" s="7" t="s">
        <v>161</v>
      </c>
      <c r="B64" s="227">
        <f>B12-B62</f>
        <v>18922.239952407086</v>
      </c>
      <c r="C64" s="227">
        <f>C12-C62</f>
        <v>-34174.31592959512</v>
      </c>
      <c r="D64" s="227">
        <f>D12-D62</f>
        <v>-31786.966699987217</v>
      </c>
      <c r="E64" s="227">
        <f>E12-E62</f>
        <v>-19559.509746955737</v>
      </c>
      <c r="F64" s="227">
        <f>F12-F62</f>
        <v>-66598.55242413099</v>
      </c>
    </row>
    <row r="67" spans="3:7" ht="12.75">
      <c r="C67" s="197"/>
      <c r="E67" s="197"/>
      <c r="G67" s="197"/>
    </row>
    <row r="68" spans="2:12" ht="12.75">
      <c r="B68" s="251" t="s">
        <v>153</v>
      </c>
      <c r="C68" s="251" t="s">
        <v>176</v>
      </c>
      <c r="D68" s="251" t="s">
        <v>153</v>
      </c>
      <c r="E68" s="251" t="s">
        <v>176</v>
      </c>
      <c r="F68" s="251" t="s">
        <v>153</v>
      </c>
      <c r="G68" s="251" t="s">
        <v>176</v>
      </c>
      <c r="H68" s="251" t="s">
        <v>153</v>
      </c>
      <c r="I68" s="251" t="s">
        <v>176</v>
      </c>
      <c r="J68" s="251" t="s">
        <v>153</v>
      </c>
      <c r="K68" s="251" t="s">
        <v>176</v>
      </c>
      <c r="L68" s="269"/>
    </row>
    <row r="69" spans="2:12" ht="12.75">
      <c r="B69" s="274" t="str">
        <f>'Chart of Accounts'!$A$12</f>
        <v>Landowner</v>
      </c>
      <c r="C69" s="220" t="s">
        <v>187</v>
      </c>
      <c r="D69" s="274" t="str">
        <f>'Chart of Accounts'!$A$12</f>
        <v>Landowner</v>
      </c>
      <c r="E69" s="266">
        <f>'Chart of Accounts'!$E$3</f>
        <v>36892</v>
      </c>
      <c r="F69" s="274" t="str">
        <f>'Chart of Accounts'!$A$13</f>
        <v>Public</v>
      </c>
      <c r="G69" s="266">
        <f>'Chart of Accounts'!$E$3</f>
        <v>36892</v>
      </c>
      <c r="H69" s="274" t="str">
        <f>'Chart of Accounts'!$A$14</f>
        <v>Networking</v>
      </c>
      <c r="I69" s="266">
        <f>'Chart of Accounts'!$E$3</f>
        <v>36892</v>
      </c>
      <c r="J69" s="274" t="str">
        <f>'Chart of Accounts'!$A$15</f>
        <v>Advocacy</v>
      </c>
      <c r="K69" s="266">
        <f>'Chart of Accounts'!$E$3</f>
        <v>36892</v>
      </c>
      <c r="L69" s="269"/>
    </row>
    <row r="70" spans="2:12" ht="12.75">
      <c r="B70" s="269"/>
      <c r="C70" s="269"/>
      <c r="D70" s="274" t="str">
        <f>'Chart of Accounts'!$A$12</f>
        <v>Landowner</v>
      </c>
      <c r="E70" s="266">
        <f>'Chart of Accounts'!$E$4</f>
        <v>36923</v>
      </c>
      <c r="F70" s="274" t="str">
        <f>'Chart of Accounts'!$A$13</f>
        <v>Public</v>
      </c>
      <c r="G70" s="266">
        <f>'Chart of Accounts'!$E$4</f>
        <v>36923</v>
      </c>
      <c r="H70" s="274" t="str">
        <f>'Chart of Accounts'!$A$14</f>
        <v>Networking</v>
      </c>
      <c r="I70" s="266">
        <f>'Chart of Accounts'!$E$4</f>
        <v>36923</v>
      </c>
      <c r="J70" s="274" t="str">
        <f>'Chart of Accounts'!$A$15</f>
        <v>Advocacy</v>
      </c>
      <c r="K70" s="266">
        <f>'Chart of Accounts'!$E$4</f>
        <v>36923</v>
      </c>
      <c r="L70" s="269"/>
    </row>
    <row r="71" spans="2:12" ht="12.75">
      <c r="B71" s="251" t="s">
        <v>153</v>
      </c>
      <c r="C71" s="251" t="s">
        <v>176</v>
      </c>
      <c r="D71" s="274" t="str">
        <f>'Chart of Accounts'!$A$12</f>
        <v>Landowner</v>
      </c>
      <c r="E71" s="266">
        <f>'Chart of Accounts'!$E$5</f>
        <v>36951</v>
      </c>
      <c r="F71" s="274" t="str">
        <f>'Chart of Accounts'!$A$13</f>
        <v>Public</v>
      </c>
      <c r="G71" s="266">
        <f>'Chart of Accounts'!$E$5</f>
        <v>36951</v>
      </c>
      <c r="H71" s="274" t="str">
        <f>'Chart of Accounts'!$A$14</f>
        <v>Networking</v>
      </c>
      <c r="I71" s="266">
        <f>'Chart of Accounts'!$E$5</f>
        <v>36951</v>
      </c>
      <c r="J71" s="274" t="str">
        <f>'Chart of Accounts'!$A$15</f>
        <v>Advocacy</v>
      </c>
      <c r="K71" s="266">
        <f>'Chart of Accounts'!$E$5</f>
        <v>36951</v>
      </c>
      <c r="L71" s="269"/>
    </row>
    <row r="72" spans="2:12" ht="12.75">
      <c r="B72" s="274" t="str">
        <f>'Chart of Accounts'!$A$13</f>
        <v>Public</v>
      </c>
      <c r="C72" s="220" t="s">
        <v>187</v>
      </c>
      <c r="D72" s="274" t="str">
        <f>'Chart of Accounts'!$A$12</f>
        <v>Landowner</v>
      </c>
      <c r="E72" s="266">
        <f>'Chart of Accounts'!$E$6</f>
        <v>36982</v>
      </c>
      <c r="F72" s="274" t="str">
        <f>'Chart of Accounts'!$A$13</f>
        <v>Public</v>
      </c>
      <c r="G72" s="266">
        <f>'Chart of Accounts'!$E$6</f>
        <v>36982</v>
      </c>
      <c r="H72" s="274" t="str">
        <f>'Chart of Accounts'!$A$14</f>
        <v>Networking</v>
      </c>
      <c r="I72" s="266">
        <f>'Chart of Accounts'!$E$6</f>
        <v>36982</v>
      </c>
      <c r="J72" s="274" t="str">
        <f>'Chart of Accounts'!$A$15</f>
        <v>Advocacy</v>
      </c>
      <c r="K72" s="266">
        <f>'Chart of Accounts'!$E$6</f>
        <v>36982</v>
      </c>
      <c r="L72" s="269"/>
    </row>
    <row r="73" spans="2:12" ht="12.75">
      <c r="B73" s="269"/>
      <c r="C73" s="269"/>
      <c r="D73" s="274" t="str">
        <f>'Chart of Accounts'!$A$12</f>
        <v>Landowner</v>
      </c>
      <c r="E73" s="266">
        <f>'Chart of Accounts'!$E$7</f>
        <v>37012</v>
      </c>
      <c r="F73" s="274" t="str">
        <f>'Chart of Accounts'!$A$13</f>
        <v>Public</v>
      </c>
      <c r="G73" s="266">
        <f>'Chart of Accounts'!$E$7</f>
        <v>37012</v>
      </c>
      <c r="H73" s="274" t="str">
        <f>'Chart of Accounts'!$A$14</f>
        <v>Networking</v>
      </c>
      <c r="I73" s="266">
        <f>'Chart of Accounts'!$E$7</f>
        <v>37012</v>
      </c>
      <c r="J73" s="274" t="str">
        <f>'Chart of Accounts'!$A$15</f>
        <v>Advocacy</v>
      </c>
      <c r="K73" s="266">
        <f>'Chart of Accounts'!$E$7</f>
        <v>37012</v>
      </c>
      <c r="L73" s="269"/>
    </row>
    <row r="74" spans="2:12" ht="12.75">
      <c r="B74" s="251" t="s">
        <v>153</v>
      </c>
      <c r="C74" s="251" t="s">
        <v>176</v>
      </c>
      <c r="D74" s="274" t="str">
        <f>'Chart of Accounts'!$A$12</f>
        <v>Landowner</v>
      </c>
      <c r="E74" s="266">
        <f>'Chart of Accounts'!$E$8</f>
        <v>37043</v>
      </c>
      <c r="F74" s="274" t="str">
        <f>'Chart of Accounts'!$A$13</f>
        <v>Public</v>
      </c>
      <c r="G74" s="266">
        <f>'Chart of Accounts'!$E$8</f>
        <v>37043</v>
      </c>
      <c r="H74" s="274" t="str">
        <f>'Chart of Accounts'!$A$14</f>
        <v>Networking</v>
      </c>
      <c r="I74" s="266">
        <f>'Chart of Accounts'!$E$8</f>
        <v>37043</v>
      </c>
      <c r="J74" s="274" t="str">
        <f>'Chart of Accounts'!$A$15</f>
        <v>Advocacy</v>
      </c>
      <c r="K74" s="266">
        <f>'Chart of Accounts'!$E$8</f>
        <v>37043</v>
      </c>
      <c r="L74" s="269"/>
    </row>
    <row r="75" spans="2:12" ht="12.75">
      <c r="B75" s="274" t="str">
        <f>'Chart of Accounts'!$A$14</f>
        <v>Networking</v>
      </c>
      <c r="C75" s="220" t="s">
        <v>187</v>
      </c>
      <c r="D75" s="274" t="str">
        <f>'Chart of Accounts'!$A$12</f>
        <v>Landowner</v>
      </c>
      <c r="E75" s="266">
        <f>'Chart of Accounts'!$E$9</f>
        <v>37073</v>
      </c>
      <c r="F75" s="274" t="str">
        <f>'Chart of Accounts'!$A$13</f>
        <v>Public</v>
      </c>
      <c r="G75" s="266">
        <f>'Chart of Accounts'!$E$9</f>
        <v>37073</v>
      </c>
      <c r="H75" s="274" t="str">
        <f>'Chart of Accounts'!$A$14</f>
        <v>Networking</v>
      </c>
      <c r="I75" s="266">
        <f>'Chart of Accounts'!$E$9</f>
        <v>37073</v>
      </c>
      <c r="J75" s="274" t="str">
        <f>'Chart of Accounts'!$A$15</f>
        <v>Advocacy</v>
      </c>
      <c r="K75" s="266">
        <f>'Chart of Accounts'!$E$9</f>
        <v>37073</v>
      </c>
      <c r="L75" s="269"/>
    </row>
    <row r="76" spans="2:12" ht="12.75">
      <c r="B76" s="269"/>
      <c r="C76" s="269"/>
      <c r="D76" s="274" t="str">
        <f>'Chart of Accounts'!$A$12</f>
        <v>Landowner</v>
      </c>
      <c r="E76" s="266">
        <f>'Chart of Accounts'!$E$10</f>
        <v>37104</v>
      </c>
      <c r="F76" s="274" t="str">
        <f>'Chart of Accounts'!$A$13</f>
        <v>Public</v>
      </c>
      <c r="G76" s="266">
        <f>'Chart of Accounts'!$E$10</f>
        <v>37104</v>
      </c>
      <c r="H76" s="274" t="str">
        <f>'Chart of Accounts'!$A$14</f>
        <v>Networking</v>
      </c>
      <c r="I76" s="266">
        <f>'Chart of Accounts'!$E$10</f>
        <v>37104</v>
      </c>
      <c r="J76" s="274" t="str">
        <f>'Chart of Accounts'!$A$15</f>
        <v>Advocacy</v>
      </c>
      <c r="K76" s="266">
        <f>'Chart of Accounts'!$E$10</f>
        <v>37104</v>
      </c>
      <c r="L76" s="269"/>
    </row>
    <row r="77" spans="2:12" ht="12.75">
      <c r="B77" s="251" t="s">
        <v>153</v>
      </c>
      <c r="C77" s="251" t="s">
        <v>176</v>
      </c>
      <c r="D77" s="274" t="str">
        <f>'Chart of Accounts'!$A$12</f>
        <v>Landowner</v>
      </c>
      <c r="E77" s="266">
        <f>'Chart of Accounts'!$E$11</f>
        <v>37135</v>
      </c>
      <c r="F77" s="274" t="str">
        <f>'Chart of Accounts'!$A$13</f>
        <v>Public</v>
      </c>
      <c r="G77" s="266">
        <f>'Chart of Accounts'!$E$11</f>
        <v>37135</v>
      </c>
      <c r="H77" s="274" t="str">
        <f>'Chart of Accounts'!$A$14</f>
        <v>Networking</v>
      </c>
      <c r="I77" s="266">
        <f>'Chart of Accounts'!$E$11</f>
        <v>37135</v>
      </c>
      <c r="J77" s="274" t="str">
        <f>'Chart of Accounts'!$A$15</f>
        <v>Advocacy</v>
      </c>
      <c r="K77" s="266">
        <f>'Chart of Accounts'!$E$11</f>
        <v>37135</v>
      </c>
      <c r="L77" s="269"/>
    </row>
    <row r="78" spans="2:12" ht="12.75">
      <c r="B78" s="274" t="str">
        <f>'Chart of Accounts'!$A$15</f>
        <v>Advocacy</v>
      </c>
      <c r="C78" s="220" t="s">
        <v>187</v>
      </c>
      <c r="D78" s="274" t="str">
        <f>'Chart of Accounts'!$A$12</f>
        <v>Landowner</v>
      </c>
      <c r="E78" s="266">
        <f>'Chart of Accounts'!$E$12</f>
        <v>37165</v>
      </c>
      <c r="F78" s="274" t="str">
        <f>'Chart of Accounts'!$A$13</f>
        <v>Public</v>
      </c>
      <c r="G78" s="266">
        <f>'Chart of Accounts'!$E$12</f>
        <v>37165</v>
      </c>
      <c r="H78" s="274" t="str">
        <f>'Chart of Accounts'!$A$14</f>
        <v>Networking</v>
      </c>
      <c r="I78" s="266">
        <f>'Chart of Accounts'!$E$12</f>
        <v>37165</v>
      </c>
      <c r="J78" s="274" t="str">
        <f>'Chart of Accounts'!$A$15</f>
        <v>Advocacy</v>
      </c>
      <c r="K78" s="266">
        <f>'Chart of Accounts'!$E$12</f>
        <v>37165</v>
      </c>
      <c r="L78" s="269"/>
    </row>
    <row r="79" spans="2:12" ht="12.75">
      <c r="B79" s="269"/>
      <c r="C79" s="269"/>
      <c r="D79" s="274" t="str">
        <f>'Chart of Accounts'!$A$12</f>
        <v>Landowner</v>
      </c>
      <c r="E79" s="266">
        <f>'Chart of Accounts'!$E$13</f>
        <v>37196</v>
      </c>
      <c r="F79" s="274" t="str">
        <f>'Chart of Accounts'!$A$13</f>
        <v>Public</v>
      </c>
      <c r="G79" s="266">
        <f>'Chart of Accounts'!$E$13</f>
        <v>37196</v>
      </c>
      <c r="H79" s="274" t="str">
        <f>'Chart of Accounts'!$A$14</f>
        <v>Networking</v>
      </c>
      <c r="I79" s="266">
        <f>'Chart of Accounts'!$E$13</f>
        <v>37196</v>
      </c>
      <c r="J79" s="274" t="str">
        <f>'Chart of Accounts'!$A$15</f>
        <v>Advocacy</v>
      </c>
      <c r="K79" s="266">
        <f>'Chart of Accounts'!$E$13</f>
        <v>37196</v>
      </c>
      <c r="L79" s="269"/>
    </row>
    <row r="80" spans="2:12" ht="12.75">
      <c r="B80" s="269"/>
      <c r="C80" s="269"/>
      <c r="D80" s="274" t="str">
        <f>'Chart of Accounts'!$A$12</f>
        <v>Landowner</v>
      </c>
      <c r="E80" s="266">
        <f>'Chart of Accounts'!$E$14</f>
        <v>37226</v>
      </c>
      <c r="F80" s="274" t="str">
        <f>'Chart of Accounts'!$A$13</f>
        <v>Public</v>
      </c>
      <c r="G80" s="266">
        <f>'Chart of Accounts'!$E$14</f>
        <v>37226</v>
      </c>
      <c r="H80" s="274" t="str">
        <f>'Chart of Accounts'!$A$14</f>
        <v>Networking</v>
      </c>
      <c r="I80" s="266">
        <f>'Chart of Accounts'!$E$14</f>
        <v>37226</v>
      </c>
      <c r="J80" s="274" t="str">
        <f>'Chart of Accounts'!$A$15</f>
        <v>Advocacy</v>
      </c>
      <c r="K80" s="266">
        <f>'Chart of Accounts'!$E$14</f>
        <v>37226</v>
      </c>
      <c r="L80" s="269"/>
    </row>
    <row r="81" spans="2:12" ht="12.75">
      <c r="B81" s="269"/>
      <c r="C81" s="269"/>
      <c r="D81" s="274" t="str">
        <f>'Chart of Accounts'!$A$12</f>
        <v>Landowner</v>
      </c>
      <c r="E81" s="266" t="s">
        <v>188</v>
      </c>
      <c r="F81" s="274" t="str">
        <f>'Chart of Accounts'!$A$13</f>
        <v>Public</v>
      </c>
      <c r="G81" s="266" t="s">
        <v>188</v>
      </c>
      <c r="H81" s="274" t="str">
        <f>'Chart of Accounts'!$A$14</f>
        <v>Networking</v>
      </c>
      <c r="I81" s="266" t="s">
        <v>188</v>
      </c>
      <c r="J81" s="274" t="str">
        <f>'Chart of Accounts'!$A$15</f>
        <v>Advocacy</v>
      </c>
      <c r="K81" s="266" t="s">
        <v>188</v>
      </c>
      <c r="L81" s="269"/>
    </row>
    <row r="82" spans="2:12" ht="12.75"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</row>
  </sheetData>
  <sheetProtection sheet="1" objects="1" scenarios="1"/>
  <printOptions/>
  <pageMargins left="0.75" right="0.75" top="1" bottom="1" header="0.5" footer="0.5"/>
  <pageSetup fitToHeight="2" horizontalDpi="300" verticalDpi="300" orientation="landscape" r:id="rId1"/>
  <headerFooter alignWithMargins="0">
    <oddFooter>&amp;CPage &amp;P</oddFooter>
  </headerFooter>
  <rowBreaks count="1" manualBreakCount="1">
    <brk id="3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O8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6" width="15.7109375" style="1" customWidth="1"/>
    <col min="7" max="7" width="13.140625" style="1" customWidth="1"/>
    <col min="8" max="16384" width="9.140625" style="1" customWidth="1"/>
  </cols>
  <sheetData>
    <row r="1" spans="1:6" ht="12.75">
      <c r="A1" s="7" t="str">
        <f>'Chart of Accounts'!A4</f>
        <v>Development</v>
      </c>
      <c r="B1" s="251" t="s">
        <v>153</v>
      </c>
      <c r="C1" s="251" t="s">
        <v>153</v>
      </c>
      <c r="D1" s="251" t="s">
        <v>153</v>
      </c>
      <c r="E1" s="251" t="s">
        <v>153</v>
      </c>
      <c r="F1" s="251" t="s">
        <v>153</v>
      </c>
    </row>
    <row r="2" spans="2:7" ht="12.75">
      <c r="B2" s="253" t="str">
        <f>'Chart of Accounts'!$A$16</f>
        <v>Major Donors</v>
      </c>
      <c r="C2" s="253" t="str">
        <f>'Chart of Accounts'!$A$17</f>
        <v>Membership</v>
      </c>
      <c r="D2" s="253" t="str">
        <f>'Chart of Accounts'!$A$18</f>
        <v>Contributions</v>
      </c>
      <c r="E2" s="253" t="str">
        <f>'Chart of Accounts'!$A$19</f>
        <v>Grants</v>
      </c>
      <c r="F2" s="253" t="str">
        <f>'Chart of Accounts'!$A$20</f>
        <v>Misc. Dev.</v>
      </c>
      <c r="G2" s="17" t="s">
        <v>46</v>
      </c>
    </row>
    <row r="3" spans="1:6" ht="12.75">
      <c r="A3" s="7" t="s">
        <v>27</v>
      </c>
      <c r="B3" s="80"/>
      <c r="C3" s="80"/>
      <c r="D3" s="80"/>
      <c r="E3" s="80"/>
      <c r="F3" s="80"/>
    </row>
    <row r="4" spans="1:7" ht="12.75">
      <c r="A4" s="1" t="str">
        <f>'Chart of Accounts'!B4</f>
        <v>New Members</v>
      </c>
      <c r="B4" s="188">
        <f>'Unrestricted Revenue'!K33</f>
        <v>0</v>
      </c>
      <c r="C4" s="188">
        <f>'Unrestricted Revenue'!L33</f>
        <v>7500</v>
      </c>
      <c r="D4" s="188">
        <f>'Unrestricted Revenue'!M33</f>
        <v>7500</v>
      </c>
      <c r="E4" s="188">
        <f>'Unrestricted Revenue'!N33</f>
        <v>0</v>
      </c>
      <c r="F4" s="188">
        <f>'Unrestricted Revenue'!O33</f>
        <v>0</v>
      </c>
      <c r="G4" s="188">
        <f aca="true" t="shared" si="0" ref="G4:G12">SUM(B4:F4)</f>
        <v>15000</v>
      </c>
    </row>
    <row r="5" spans="1:7" ht="12.75">
      <c r="A5" s="1" t="str">
        <f>'Chart of Accounts'!B5</f>
        <v>Renewals</v>
      </c>
      <c r="B5" s="116">
        <f>'Unrestricted Revenue'!K34</f>
        <v>0</v>
      </c>
      <c r="C5" s="116">
        <f>'Unrestricted Revenue'!L34</f>
        <v>18750</v>
      </c>
      <c r="D5" s="116">
        <f>'Unrestricted Revenue'!M34</f>
        <v>18750</v>
      </c>
      <c r="E5" s="116">
        <f>'Unrestricted Revenue'!N34</f>
        <v>0</v>
      </c>
      <c r="F5" s="116">
        <f>'Unrestricted Revenue'!O34</f>
        <v>0</v>
      </c>
      <c r="G5" s="116">
        <f t="shared" si="0"/>
        <v>37500</v>
      </c>
    </row>
    <row r="6" spans="1:7" ht="12.75">
      <c r="A6" s="1" t="str">
        <f>'Chart of Accounts'!B6</f>
        <v>Appeals</v>
      </c>
      <c r="B6" s="116">
        <f>'Unrestricted Revenue'!K35</f>
        <v>0</v>
      </c>
      <c r="C6" s="116">
        <f>'Unrestricted Revenue'!L35</f>
        <v>3750</v>
      </c>
      <c r="D6" s="116">
        <f>'Unrestricted Revenue'!M35</f>
        <v>3750</v>
      </c>
      <c r="E6" s="116">
        <f>'Unrestricted Revenue'!N35</f>
        <v>0</v>
      </c>
      <c r="F6" s="116">
        <f>'Unrestricted Revenue'!O35</f>
        <v>0</v>
      </c>
      <c r="G6" s="116">
        <f t="shared" si="0"/>
        <v>7500</v>
      </c>
    </row>
    <row r="7" spans="1:7" ht="12.75">
      <c r="A7" s="1" t="str">
        <f>'Chart of Accounts'!B7</f>
        <v>Monthly Giving</v>
      </c>
      <c r="B7" s="116">
        <f>'Unrestricted Revenue'!K36+DSUM(Revenue,'Revenue Projects'!$D$2,C66:D67)*12+DSUM(Revenue,'Revenue Projects'!$D$2,E66:F79)</f>
        <v>0</v>
      </c>
      <c r="C7" s="116">
        <f>'Unrestricted Revenue'!L36+DSUM(Revenue,'Revenue Projects'!$D$2,C69:D70)*12+DSUM(Revenue,'Revenue Projects'!$D$2,G66:H79)</f>
        <v>1800</v>
      </c>
      <c r="D7" s="116">
        <f>'Unrestricted Revenue'!M36+DSUM(Revenue,'Revenue Projects'!$D$2,C72:D73)*12+DSUM(Revenue,'Revenue Projects'!$D$2,I66:J79)</f>
        <v>1800</v>
      </c>
      <c r="E7" s="116">
        <f>'Unrestricted Revenue'!N36+DSUM(Revenue,'Revenue Projects'!$D$2,C75:D76)*12+DSUM(Revenue,'Revenue Projects'!$D$2,K66:L79)</f>
        <v>0</v>
      </c>
      <c r="F7" s="116">
        <f>'Unrestricted Revenue'!O36+DSUM(Revenue,'Revenue Projects'!$D$2,C78:D79)*12+DSUM(Revenue,'Revenue Projects'!$D$2,M66:N79)</f>
        <v>0</v>
      </c>
      <c r="G7" s="116">
        <f t="shared" si="0"/>
        <v>3600</v>
      </c>
    </row>
    <row r="8" spans="1:7" ht="12.75">
      <c r="A8" s="1" t="str">
        <f>'Chart of Accounts'!B9</f>
        <v>Major Donors</v>
      </c>
      <c r="B8" s="116">
        <f>DSUM(MajorDonors,'Major Donors'!$D$2,C66:D67)*12+DSUM(MajorDonors,'Major Donors'!$D$2,E66:F79)+'Unrestricted Revenue'!K37</f>
        <v>0</v>
      </c>
      <c r="C8" s="116">
        <f>DSUM(MajorDonors,'Major Donors'!$D$2,C69:D70)*12+DSUM(MajorDonors,'Major Donors'!$D$2,G66:H79)+'Unrestricted Revenue'!L37</f>
        <v>0</v>
      </c>
      <c r="D8" s="116">
        <f>DSUM(MajorDonors,'Major Donors'!$D$2,C72:D73)*12+DSUM(MajorDonors,'Major Donors'!$D$2,I66:J79)+'Unrestricted Revenue'!M37</f>
        <v>0</v>
      </c>
      <c r="E8" s="116">
        <f>DSUM(MajorDonors,'Major Donors'!$D$2,C75:D76)*12+DSUM(MajorDonors,'Major Donors'!$D$2,K66:L79)+'Unrestricted Revenue'!N37</f>
        <v>0</v>
      </c>
      <c r="F8" s="116">
        <f>DSUM(MajorDonors,'Major Donors'!$D$2,C78:D79)*12+DSUM(MajorDonors,'Major Donors'!$D$2,M66:N79)+'Unrestricted Revenue'!O37</f>
        <v>0</v>
      </c>
      <c r="G8" s="116">
        <f t="shared" si="0"/>
        <v>0</v>
      </c>
    </row>
    <row r="9" spans="1:7" ht="12.75">
      <c r="A9" s="1" t="str">
        <f>'Chart of Accounts'!B11</f>
        <v>Workplace Giving</v>
      </c>
      <c r="B9" s="116">
        <f>'Unrestricted Revenue'!K38+DSUM(Revenue,'Revenue Projects'!$E$2,C66:D67)*12+DSUM(Revenue,'Revenue Projects'!$E$2,E66:F79)</f>
        <v>0</v>
      </c>
      <c r="C9" s="116">
        <f>'Unrestricted Revenue'!L38+DSUM(Revenue,'Revenue Projects'!$E$2,C69:D70)*12+DSUM(Revenue,'Revenue Projects'!$E$2,G66:H79)</f>
        <v>0</v>
      </c>
      <c r="D9" s="116">
        <f>'Unrestricted Revenue'!M38+DSUM(Revenue,'Revenue Projects'!$E$2,C72:D73)*12+DSUM(Revenue,'Revenue Projects'!$E$2,I66:J79)</f>
        <v>0</v>
      </c>
      <c r="E9" s="116">
        <f>'Unrestricted Revenue'!N38+DSUM(Revenue,'Revenue Projects'!$E$2,C75:D76)*12+DSUM(Revenue,'Revenue Projects'!$E$2,K66:L79)</f>
        <v>0</v>
      </c>
      <c r="F9" s="116">
        <f>'Unrestricted Revenue'!O38+DSUM(Revenue,'Revenue Projects'!$E$2,C78:D79)*12+DSUM(Revenue,'Revenue Projects'!$E$2,M66:N79)</f>
        <v>0</v>
      </c>
      <c r="G9" s="116">
        <f>SUM(B9:F9)</f>
        <v>0</v>
      </c>
    </row>
    <row r="10" spans="1:7" ht="12.75">
      <c r="A10" s="1" t="str">
        <f>'Chart of Accounts'!B13</f>
        <v>Grants</v>
      </c>
      <c r="B10" s="116">
        <f>DSUM(Grants,Grants!$E$10,C66:D67)*12+DSUM(Grants,Grants!$E$10,E66:F79)+'Unrestricted Revenue'!K39</f>
        <v>0</v>
      </c>
      <c r="C10" s="116">
        <f>DSUM(Grants,Grants!$E$10,C69:D70)*12+DSUM(Grants,Grants!$E$10,G66:H79)+'Unrestricted Revenue'!L39</f>
        <v>0</v>
      </c>
      <c r="D10" s="116">
        <f>DSUM(Grants,Grants!$E$10,C72:D73)*12+DSUM(Grants,Grants!$E$10,I66:J79)+'Unrestricted Revenue'!M39</f>
        <v>0</v>
      </c>
      <c r="E10" s="116">
        <f>DSUM(Grants,Grants!$E$10,C75:D76)*12+DSUM(Grants,Grants!$E$10,K66:L79)+'Unrestricted Revenue'!N39</f>
        <v>0</v>
      </c>
      <c r="F10" s="116">
        <f>DSUM(Grants,Grants!$E$10,C78:D79)*12+DSUM(Grants,Grants!$E$10,M66:N79)+'Unrestricted Revenue'!O39</f>
        <v>0</v>
      </c>
      <c r="G10" s="116">
        <f t="shared" si="0"/>
        <v>0</v>
      </c>
    </row>
    <row r="11" spans="1:7" ht="13.5" thickBot="1">
      <c r="A11" s="1" t="str">
        <f>'Chart of Accounts'!B15</f>
        <v>Other Income</v>
      </c>
      <c r="B11" s="13">
        <f>SUM('Unrestricted Revenue'!K29:K32)+'Unrestricted Revenue'!K40+DSUM(Revenue,'Revenue Projects'!$F$2,C66:D67)*12+DSUM(Revenue,'Revenue Projects'!$F$2,E66:F79)</f>
        <v>11352.666721602667</v>
      </c>
      <c r="C11" s="13">
        <f>SUM('Unrestricted Revenue'!L29:L32)+'Unrestricted Revenue'!L40+DSUM(Revenue,'Revenue Projects'!$F$2,C69:D70)*12+DSUM(Revenue,'Revenue Projects'!$F$2,G66:H79)</f>
        <v>60000</v>
      </c>
      <c r="D11" s="13">
        <f>SUM('Unrestricted Revenue'!M29:M32)+'Unrestricted Revenue'!M40+DSUM(Revenue,'Revenue Projects'!$F$2,C72:D73)*12+DSUM(Revenue,'Revenue Projects'!$F$2,I66:J79)</f>
        <v>0</v>
      </c>
      <c r="E11" s="13">
        <f>SUM('Unrestricted Revenue'!N29:N32)+'Unrestricted Revenue'!N40+DSUM(Revenue,'Revenue Projects'!$F$2,C75:D76)*12+DSUM(Revenue,'Revenue Projects'!$F$2,K66:L79)</f>
        <v>0</v>
      </c>
      <c r="F11" s="13">
        <f>SUM('Unrestricted Revenue'!O29:O32)+'Unrestricted Revenue'!O40+DSUM(Revenue,'Revenue Projects'!$F$2,C78:D79)*12+DSUM(Revenue,'Revenue Projects'!$F$2,M66:N79)</f>
        <v>0</v>
      </c>
      <c r="G11" s="13">
        <f t="shared" si="0"/>
        <v>71352.66672160267</v>
      </c>
    </row>
    <row r="12" spans="1:7" ht="15">
      <c r="A12" s="7" t="s">
        <v>160</v>
      </c>
      <c r="B12" s="224">
        <f>SUM(B4:B11)</f>
        <v>11352.666721602667</v>
      </c>
      <c r="C12" s="222">
        <f>SUM(C4:C11)</f>
        <v>91800</v>
      </c>
      <c r="D12" s="222">
        <f>SUM(D4:D11)</f>
        <v>31800</v>
      </c>
      <c r="E12" s="222">
        <f>SUM(E4:E11)</f>
        <v>0</v>
      </c>
      <c r="F12" s="222">
        <f>SUM(F4:F11)</f>
        <v>0</v>
      </c>
      <c r="G12" s="222">
        <f t="shared" si="0"/>
        <v>134952.66672160267</v>
      </c>
    </row>
    <row r="13" spans="2:4" ht="12.75">
      <c r="B13" s="82"/>
      <c r="C13" s="82"/>
      <c r="D13" s="82"/>
    </row>
    <row r="14" ht="12.75">
      <c r="A14" s="175" t="s">
        <v>29</v>
      </c>
    </row>
    <row r="15" spans="1:7" ht="12.75">
      <c r="A15" s="1" t="str">
        <f>'Chart of Accounts'!$C$4</f>
        <v>Salaries</v>
      </c>
      <c r="B15" s="225">
        <f>'Staff Expenses'!I38</f>
        <v>11753.5125</v>
      </c>
      <c r="C15" s="225">
        <f>'Staff Expenses'!J38</f>
        <v>11753.5125</v>
      </c>
      <c r="D15" s="225">
        <f>'Staff Expenses'!K38</f>
        <v>11753.5125</v>
      </c>
      <c r="E15" s="225">
        <f>'Staff Expenses'!L38</f>
        <v>11753.5125</v>
      </c>
      <c r="F15" s="225">
        <f>'Staff Expenses'!M38</f>
        <v>11753.5125</v>
      </c>
      <c r="G15" s="225">
        <f aca="true" t="shared" si="1" ref="G15:G20">SUM(B15:F15)</f>
        <v>58767.5625</v>
      </c>
    </row>
    <row r="16" spans="1:7" ht="12.75">
      <c r="A16" s="1" t="str">
        <f>'Chart of Accounts'!$C$5</f>
        <v>Taxes</v>
      </c>
      <c r="B16" s="163">
        <f>'Staff Expenses'!I48</f>
        <v>1492.4227500000002</v>
      </c>
      <c r="C16" s="163">
        <f>'Staff Expenses'!J48</f>
        <v>1492.4227500000002</v>
      </c>
      <c r="D16" s="163">
        <f>'Staff Expenses'!K48</f>
        <v>1492.4227500000002</v>
      </c>
      <c r="E16" s="163">
        <f>'Staff Expenses'!L48</f>
        <v>1492.4227500000002</v>
      </c>
      <c r="F16" s="163">
        <f>'Staff Expenses'!M48</f>
        <v>1492.4227500000002</v>
      </c>
      <c r="G16" s="163">
        <f t="shared" si="1"/>
        <v>7462.11375</v>
      </c>
    </row>
    <row r="17" spans="1:7" ht="12.75">
      <c r="A17" s="1" t="str">
        <f>'Chart of Accounts'!$C$6</f>
        <v>Benefits</v>
      </c>
      <c r="B17" s="163">
        <f>'Staff Expenses'!I58</f>
        <v>450</v>
      </c>
      <c r="C17" s="163">
        <f>'Staff Expenses'!J58</f>
        <v>450</v>
      </c>
      <c r="D17" s="163">
        <f>'Staff Expenses'!K58</f>
        <v>450</v>
      </c>
      <c r="E17" s="163">
        <f>'Staff Expenses'!L58</f>
        <v>450</v>
      </c>
      <c r="F17" s="163">
        <f>'Staff Expenses'!M58</f>
        <v>450</v>
      </c>
      <c r="G17" s="163">
        <f t="shared" si="1"/>
        <v>2250</v>
      </c>
    </row>
    <row r="18" spans="1:7" ht="12.75">
      <c r="A18" s="1" t="str">
        <f>'Chart of Accounts'!$C$7</f>
        <v>Temps.</v>
      </c>
      <c r="B18" s="163"/>
      <c r="C18" s="163"/>
      <c r="D18" s="163"/>
      <c r="E18" s="163"/>
      <c r="F18" s="163"/>
      <c r="G18" s="163">
        <f t="shared" si="1"/>
        <v>0</v>
      </c>
    </row>
    <row r="19" spans="1:7" ht="13.5" thickBot="1">
      <c r="A19" s="1" t="str">
        <f>'Chart of Accounts'!$C$8</f>
        <v>Hiring Costs</v>
      </c>
      <c r="B19" s="226"/>
      <c r="C19" s="226"/>
      <c r="D19" s="226"/>
      <c r="E19" s="226"/>
      <c r="F19" s="226"/>
      <c r="G19" s="226">
        <f t="shared" si="1"/>
        <v>0</v>
      </c>
    </row>
    <row r="20" spans="1:7" ht="12.75">
      <c r="A20" s="176" t="str">
        <f>'Chart of Accounts'!C3</f>
        <v>Salaries, Taxes, and Benefits</v>
      </c>
      <c r="B20" s="163">
        <f>SUM(B15:B19)</f>
        <v>13695.93525</v>
      </c>
      <c r="C20" s="163">
        <f>SUM(C15:C19)</f>
        <v>13695.93525</v>
      </c>
      <c r="D20" s="163">
        <f>SUM(D15:D19)</f>
        <v>13695.93525</v>
      </c>
      <c r="E20" s="163">
        <f>SUM(E15:E19)</f>
        <v>13695.93525</v>
      </c>
      <c r="F20" s="163">
        <f>SUM(F15:F19)</f>
        <v>13695.93525</v>
      </c>
      <c r="G20" s="163">
        <f t="shared" si="1"/>
        <v>68479.67625</v>
      </c>
    </row>
    <row r="21" spans="2:7" ht="12.75">
      <c r="B21" s="163"/>
      <c r="C21" s="163"/>
      <c r="D21" s="163"/>
      <c r="E21" s="116"/>
      <c r="F21" s="116"/>
      <c r="G21" s="116"/>
    </row>
    <row r="22" spans="1:7" ht="12.75">
      <c r="A22" s="1" t="str">
        <f>'Chart of Accounts'!$C$11</f>
        <v>Account.</v>
      </c>
      <c r="B22" s="163"/>
      <c r="C22" s="163"/>
      <c r="D22" s="163"/>
      <c r="E22" s="163"/>
      <c r="F22" s="163"/>
      <c r="G22" s="163">
        <f aca="true" t="shared" si="2" ref="G22:G27">SUM(B22:F22)</f>
        <v>0</v>
      </c>
    </row>
    <row r="23" spans="1:7" ht="12.75">
      <c r="A23" s="1" t="str">
        <f>'Chart of Accounts'!$C$12</f>
        <v>Legal</v>
      </c>
      <c r="B23" s="163"/>
      <c r="C23" s="163"/>
      <c r="D23" s="163"/>
      <c r="E23" s="163"/>
      <c r="F23" s="163"/>
      <c r="G23" s="163">
        <f t="shared" si="2"/>
        <v>0</v>
      </c>
    </row>
    <row r="24" spans="1:7" ht="12.75">
      <c r="A24" s="1" t="str">
        <f>'Chart of Accounts'!$C$13</f>
        <v>Mgmt.</v>
      </c>
      <c r="B24" s="163"/>
      <c r="C24" s="163"/>
      <c r="D24" s="163"/>
      <c r="E24" s="163"/>
      <c r="F24" s="163"/>
      <c r="G24" s="163">
        <f t="shared" si="2"/>
        <v>0</v>
      </c>
    </row>
    <row r="25" spans="1:7" ht="12.75">
      <c r="A25" s="1" t="str">
        <f>'Chart of Accounts'!$C$14</f>
        <v>Data Proc.</v>
      </c>
      <c r="B25" s="163">
        <f>DSUM(Development,'Development Projects'!$D3,E66:F79)+DSUM(Development,'Development Projects'!$D$3,$C$66:$D$67)*12</f>
        <v>0</v>
      </c>
      <c r="C25" s="163">
        <f>DSUM(Development,'Development Projects'!$D3,G66:H79)+DSUM(Development,'Development Projects'!$D$3,$C$69:$D$70)*12</f>
        <v>0</v>
      </c>
      <c r="D25" s="163">
        <f>DSUM(Development,'Development Projects'!$D3,I66:J79)+DSUM(Development,'Development Projects'!$D$3,$C$72:$D$73)*12</f>
        <v>0</v>
      </c>
      <c r="E25" s="163">
        <f>DSUM(Development,'Development Projects'!$D3,K66:L79)+DSUM(Development,'Development Projects'!$D$3,$C$75:$D$76)*12</f>
        <v>0</v>
      </c>
      <c r="F25" s="163">
        <f>DSUM(Development,'Development Projects'!$D3,M66:N79)+DSUM(Development,'Development Projects'!$D$3,$C$78:$D$79)*12</f>
        <v>0</v>
      </c>
      <c r="G25" s="163">
        <f t="shared" si="2"/>
        <v>0</v>
      </c>
    </row>
    <row r="26" spans="1:7" ht="12.75">
      <c r="A26" s="1" t="str">
        <f>'Chart of Accounts'!$C$15</f>
        <v>Acq. Services</v>
      </c>
      <c r="B26" s="163"/>
      <c r="C26" s="163"/>
      <c r="D26" s="163"/>
      <c r="E26" s="163"/>
      <c r="F26" s="163"/>
      <c r="G26" s="163">
        <f t="shared" si="2"/>
        <v>0</v>
      </c>
    </row>
    <row r="27" spans="1:7" ht="13.5" thickBot="1">
      <c r="A27" s="1" t="str">
        <f>'Chart of Accounts'!$C$16</f>
        <v>Other PS</v>
      </c>
      <c r="B27" s="226">
        <f>DSUM(Development,'Development Projects'!E3,E66:F79)+DSUM(Development,'Development Projects'!E3,$C$66:$D$67)*12</f>
        <v>2000</v>
      </c>
      <c r="C27" s="226">
        <f>DSUM(Development,'Development Projects'!E3,G66:H79)+DSUM(Development,'Development Projects'!E3,$C$69:$D$70)*12+Membership!D59</f>
        <v>6800</v>
      </c>
      <c r="D27" s="226">
        <f>DSUM(Development,'Development Projects'!E3,I66:J79)+DSUM(Development,'Development Projects'!E3,$C$72:$D$73)*12</f>
        <v>0</v>
      </c>
      <c r="E27" s="226">
        <f>DSUM(Development,'Development Projects'!E3,K66:L79)+DSUM(Development,'Development Projects'!E3,$C$75:$D$76)*12</f>
        <v>0</v>
      </c>
      <c r="F27" s="226">
        <f>DSUM(Development,'Development Projects'!E3,M66:N79)+DSUM(Development,'Development Projects'!E3,$C$78:$D$79)*12</f>
        <v>0</v>
      </c>
      <c r="G27" s="226">
        <f t="shared" si="2"/>
        <v>8800</v>
      </c>
    </row>
    <row r="28" spans="1:7" ht="12.75">
      <c r="A28" s="176" t="str">
        <f>'Chart of Accounts'!C10</f>
        <v>Professional Services</v>
      </c>
      <c r="B28" s="163">
        <f aca="true" t="shared" si="3" ref="B28:G28">SUM(B22:B27)</f>
        <v>2000</v>
      </c>
      <c r="C28" s="163">
        <f t="shared" si="3"/>
        <v>6800</v>
      </c>
      <c r="D28" s="163">
        <f t="shared" si="3"/>
        <v>0</v>
      </c>
      <c r="E28" s="163">
        <f t="shared" si="3"/>
        <v>0</v>
      </c>
      <c r="F28" s="163">
        <f t="shared" si="3"/>
        <v>0</v>
      </c>
      <c r="G28" s="163">
        <f t="shared" si="3"/>
        <v>8800</v>
      </c>
    </row>
    <row r="29" spans="2:7" ht="12.75">
      <c r="B29" s="163"/>
      <c r="C29" s="163"/>
      <c r="D29" s="163"/>
      <c r="E29" s="163"/>
      <c r="F29" s="163"/>
      <c r="G29" s="163"/>
    </row>
    <row r="30" spans="1:7" ht="12.75">
      <c r="A30" s="1" t="str">
        <f>'Chart of Accounts'!$C$19</f>
        <v>Long Distance</v>
      </c>
      <c r="B30" s="163">
        <f>'Shared &amp; Allocation'!I21*12</f>
        <v>75.16427651229193</v>
      </c>
      <c r="C30" s="163">
        <f>'Shared &amp; Allocation'!J21*12</f>
        <v>75.16427651229193</v>
      </c>
      <c r="D30" s="163">
        <f>'Shared &amp; Allocation'!K21*12</f>
        <v>75.16427651229193</v>
      </c>
      <c r="E30" s="163">
        <f>'Shared &amp; Allocation'!L21*12</f>
        <v>75.16427651229193</v>
      </c>
      <c r="F30" s="163">
        <f>'Shared &amp; Allocation'!M21*12</f>
        <v>75.16427651229193</v>
      </c>
      <c r="G30" s="163">
        <f>SUM(B30:F30)</f>
        <v>375.8213825614597</v>
      </c>
    </row>
    <row r="31" spans="1:7" ht="13.5" thickBot="1">
      <c r="A31" s="1" t="str">
        <f>'Chart of Accounts'!$C$20</f>
        <v>Internet Access</v>
      </c>
      <c r="B31" s="226">
        <f>'Shared &amp; Allocation'!I22*12</f>
        <v>25.054758837430647</v>
      </c>
      <c r="C31" s="226">
        <f>'Shared &amp; Allocation'!J22*12</f>
        <v>25.054758837430647</v>
      </c>
      <c r="D31" s="226">
        <f>'Shared &amp; Allocation'!K22*12</f>
        <v>25.054758837430647</v>
      </c>
      <c r="E31" s="226">
        <f>'Shared &amp; Allocation'!L22*12</f>
        <v>25.054758837430647</v>
      </c>
      <c r="F31" s="226">
        <f>'Shared &amp; Allocation'!M22*12</f>
        <v>25.054758837430647</v>
      </c>
      <c r="G31" s="226">
        <f>SUM(B31:F31)</f>
        <v>125.27379418715324</v>
      </c>
    </row>
    <row r="32" spans="1:7" ht="12.75">
      <c r="A32" s="176" t="str">
        <f>'Chart of Accounts'!C18</f>
        <v>Telephone</v>
      </c>
      <c r="B32" s="163">
        <f aca="true" t="shared" si="4" ref="B32:G32">SUM(B30:B31)</f>
        <v>100.21903534972259</v>
      </c>
      <c r="C32" s="163">
        <f t="shared" si="4"/>
        <v>100.21903534972259</v>
      </c>
      <c r="D32" s="163">
        <f t="shared" si="4"/>
        <v>100.21903534972259</v>
      </c>
      <c r="E32" s="163">
        <f t="shared" si="4"/>
        <v>100.21903534972259</v>
      </c>
      <c r="F32" s="163">
        <f t="shared" si="4"/>
        <v>100.21903534972259</v>
      </c>
      <c r="G32" s="163">
        <f t="shared" si="4"/>
        <v>501.09517674861297</v>
      </c>
    </row>
    <row r="33" spans="2:7" ht="12.75">
      <c r="B33" s="163"/>
      <c r="C33" s="163"/>
      <c r="D33" s="163"/>
      <c r="E33" s="163"/>
      <c r="F33" s="163"/>
      <c r="G33" s="163"/>
    </row>
    <row r="34" spans="1:7" ht="12.75">
      <c r="A34" s="1" t="str">
        <f>'Chart of Accounts'!$C$23</f>
        <v>Rent</v>
      </c>
      <c r="B34" s="163">
        <f>'Shared &amp; Allocation'!I23*12</f>
        <v>175.38331186201452</v>
      </c>
      <c r="C34" s="163">
        <f>'Shared &amp; Allocation'!J23*12</f>
        <v>175.38331186201452</v>
      </c>
      <c r="D34" s="163">
        <f>'Shared &amp; Allocation'!K23*12</f>
        <v>175.38331186201452</v>
      </c>
      <c r="E34" s="163">
        <f>'Shared &amp; Allocation'!L23*12</f>
        <v>175.38331186201452</v>
      </c>
      <c r="F34" s="163">
        <f>'Shared &amp; Allocation'!M23*12</f>
        <v>175.38331186201452</v>
      </c>
      <c r="G34" s="163">
        <f>SUM(B34:F34)</f>
        <v>876.9165593100727</v>
      </c>
    </row>
    <row r="35" spans="1:7" ht="12.75">
      <c r="A35" s="1" t="str">
        <f>'Chart of Accounts'!$C$24</f>
        <v>Repair/Maintenance</v>
      </c>
      <c r="B35" s="163">
        <f>'Shared &amp; Allocation'!I24*12</f>
        <v>37.58213825614597</v>
      </c>
      <c r="C35" s="163">
        <f>'Shared &amp; Allocation'!J24*12</f>
        <v>37.58213825614597</v>
      </c>
      <c r="D35" s="163">
        <f>'Shared &amp; Allocation'!K24*12</f>
        <v>37.58213825614597</v>
      </c>
      <c r="E35" s="163">
        <f>'Shared &amp; Allocation'!L24*12</f>
        <v>37.58213825614597</v>
      </c>
      <c r="F35" s="163">
        <f>'Shared &amp; Allocation'!M24*12</f>
        <v>37.58213825614597</v>
      </c>
      <c r="G35" s="163">
        <f>SUM(B35:F35)</f>
        <v>187.91069128072985</v>
      </c>
    </row>
    <row r="36" spans="1:7" ht="12.75">
      <c r="A36" s="1" t="str">
        <f>'Chart of Accounts'!$C$25</f>
        <v>Utilities</v>
      </c>
      <c r="B36" s="163">
        <f>'Shared &amp; Allocation'!I25*12</f>
        <v>50.109517674861294</v>
      </c>
      <c r="C36" s="163">
        <f>'Shared &amp; Allocation'!J25*12</f>
        <v>50.109517674861294</v>
      </c>
      <c r="D36" s="163">
        <f>'Shared &amp; Allocation'!K25*12</f>
        <v>50.109517674861294</v>
      </c>
      <c r="E36" s="163">
        <f>'Shared &amp; Allocation'!L25*12</f>
        <v>50.109517674861294</v>
      </c>
      <c r="F36" s="163">
        <f>'Shared &amp; Allocation'!M25*12</f>
        <v>50.109517674861294</v>
      </c>
      <c r="G36" s="163">
        <f>SUM(B36:F36)</f>
        <v>250.54758837430649</v>
      </c>
    </row>
    <row r="37" spans="1:7" ht="13.5" thickBot="1">
      <c r="A37" s="1" t="str">
        <f>'Chart of Accounts'!$C$26</f>
        <v>Room Rentals</v>
      </c>
      <c r="B37" s="226">
        <f>DSUM(Development,'Development Projects'!F3,E66:F79)+DSUM(Development,'Development Projects'!F3,$C$66:$D$67)*12</f>
        <v>500</v>
      </c>
      <c r="C37" s="226">
        <f>DSUM(Development,'Development Projects'!F3,G66:H79)+DSUM(Development,'Development Projects'!F3,$C$69:$D$70)*12</f>
        <v>0</v>
      </c>
      <c r="D37" s="226">
        <f>DSUM(Development,'Development Projects'!F3,I66:J79)+DSUM(Development,'Development Projects'!F3,$C$72:$D$73)*12</f>
        <v>0</v>
      </c>
      <c r="E37" s="226">
        <f>DSUM(Development,'Development Projects'!F3,K66:L79)+DSUM(Development,'Development Projects'!F3,$C$75:$D$76)*12</f>
        <v>0</v>
      </c>
      <c r="F37" s="226">
        <f>DSUM(Development,'Development Projects'!F3,M66:N79)+DSUM(Development,'Development Projects'!F3,$C$78:$D$79)*12</f>
        <v>0</v>
      </c>
      <c r="G37" s="226">
        <f>SUM(B37:F37)</f>
        <v>500</v>
      </c>
    </row>
    <row r="38" spans="1:7" ht="12.75">
      <c r="A38" s="176" t="str">
        <f>'Chart of Accounts'!C22</f>
        <v>Occupancy</v>
      </c>
      <c r="B38" s="163">
        <f aca="true" t="shared" si="5" ref="B38:G38">SUM(B34:B37)</f>
        <v>763.0749677930219</v>
      </c>
      <c r="C38" s="163">
        <f t="shared" si="5"/>
        <v>263.0749677930218</v>
      </c>
      <c r="D38" s="163">
        <f t="shared" si="5"/>
        <v>263.0749677930218</v>
      </c>
      <c r="E38" s="163">
        <f t="shared" si="5"/>
        <v>263.0749677930218</v>
      </c>
      <c r="F38" s="163">
        <f t="shared" si="5"/>
        <v>263.0749677930218</v>
      </c>
      <c r="G38" s="163">
        <f t="shared" si="5"/>
        <v>1815.3748389651091</v>
      </c>
    </row>
    <row r="39" spans="2:7" ht="12.75">
      <c r="B39" s="163"/>
      <c r="C39" s="163"/>
      <c r="D39" s="163"/>
      <c r="E39" s="163"/>
      <c r="F39" s="163"/>
      <c r="G39" s="163"/>
    </row>
    <row r="40" spans="1:7" ht="12.75">
      <c r="A40" s="1" t="str">
        <f>'Chart of Accounts'!$D$4</f>
        <v>Equipment Purchase</v>
      </c>
      <c r="B40" s="163">
        <f>'Shared &amp; Allocation'!I26*12</f>
        <v>75.16427651229193</v>
      </c>
      <c r="C40" s="163">
        <f>'Shared &amp; Allocation'!J26*12</f>
        <v>75.16427651229193</v>
      </c>
      <c r="D40" s="163">
        <f>'Shared &amp; Allocation'!K26*12</f>
        <v>75.16427651229193</v>
      </c>
      <c r="E40" s="163">
        <f>'Shared &amp; Allocation'!L26*12</f>
        <v>75.16427651229193</v>
      </c>
      <c r="F40" s="163">
        <f>'Shared &amp; Allocation'!M26*12</f>
        <v>75.16427651229193</v>
      </c>
      <c r="G40" s="163">
        <f>SUM(B40:F40)</f>
        <v>375.8213825614597</v>
      </c>
    </row>
    <row r="41" spans="1:7" ht="12.75">
      <c r="A41" s="1" t="str">
        <f>'Chart of Accounts'!$D$5</f>
        <v>Equipment Maintenance/Repair</v>
      </c>
      <c r="B41" s="163">
        <f>'Shared &amp; Allocation'!I27*12</f>
        <v>17.53833118620145</v>
      </c>
      <c r="C41" s="163">
        <f>'Shared &amp; Allocation'!J27*12</f>
        <v>17.53833118620145</v>
      </c>
      <c r="D41" s="163">
        <f>'Shared &amp; Allocation'!K27*12</f>
        <v>17.53833118620145</v>
      </c>
      <c r="E41" s="163">
        <f>'Shared &amp; Allocation'!L27*12</f>
        <v>17.53833118620145</v>
      </c>
      <c r="F41" s="163">
        <f>'Shared &amp; Allocation'!M27*12</f>
        <v>17.53833118620145</v>
      </c>
      <c r="G41" s="163">
        <f>SUM(B41:F41)</f>
        <v>87.69165593100725</v>
      </c>
    </row>
    <row r="42" spans="1:7" ht="13.5" thickBot="1">
      <c r="A42" s="1" t="str">
        <f>'Chart of Accounts'!$D$6</f>
        <v>Depreciation</v>
      </c>
      <c r="B42" s="226">
        <f>'Shared &amp; Allocation'!I28*12</f>
        <v>75.16427651229193</v>
      </c>
      <c r="C42" s="226">
        <f>'Shared &amp; Allocation'!J28*12</f>
        <v>75.16427651229193</v>
      </c>
      <c r="D42" s="226">
        <f>'Shared &amp; Allocation'!K28*12</f>
        <v>75.16427651229193</v>
      </c>
      <c r="E42" s="226">
        <f>'Shared &amp; Allocation'!L28*12</f>
        <v>75.16427651229193</v>
      </c>
      <c r="F42" s="226">
        <f>'Shared &amp; Allocation'!M28*12</f>
        <v>75.16427651229193</v>
      </c>
      <c r="G42" s="226">
        <f>SUM(B42:F42)</f>
        <v>375.8213825614597</v>
      </c>
    </row>
    <row r="43" spans="1:7" ht="12.75">
      <c r="A43" s="176" t="str">
        <f>'Chart of Accounts'!D3</f>
        <v>Equipment</v>
      </c>
      <c r="B43" s="163">
        <f aca="true" t="shared" si="6" ref="B43:G43">SUM(B40:B42)</f>
        <v>167.86688421078532</v>
      </c>
      <c r="C43" s="163">
        <f t="shared" si="6"/>
        <v>167.86688421078532</v>
      </c>
      <c r="D43" s="163">
        <f t="shared" si="6"/>
        <v>167.86688421078532</v>
      </c>
      <c r="E43" s="163">
        <f t="shared" si="6"/>
        <v>167.86688421078532</v>
      </c>
      <c r="F43" s="163">
        <f t="shared" si="6"/>
        <v>167.86688421078532</v>
      </c>
      <c r="G43" s="163">
        <f t="shared" si="6"/>
        <v>839.3344210539267</v>
      </c>
    </row>
    <row r="44" spans="2:7" ht="12.75">
      <c r="B44" s="163"/>
      <c r="C44" s="163"/>
      <c r="D44" s="163"/>
      <c r="E44" s="163"/>
      <c r="F44" s="163"/>
      <c r="G44" s="163"/>
    </row>
    <row r="45" spans="1:7" ht="12.75">
      <c r="A45" s="1" t="str">
        <f>'Chart of Accounts'!$D$9</f>
        <v>Supplies </v>
      </c>
      <c r="B45" s="163">
        <f>DSUM(Development,'Development Projects'!G3,E66:F79)+DSUM(Development,'Development Projects'!G3,$C$66:$D$67)*12+'Shared &amp; Allocation'!I29*12</f>
        <v>287.582138256146</v>
      </c>
      <c r="C45" s="163">
        <f>DSUM(Development,'Development Projects'!G3,G66:H79)+DSUM(Development,'Development Projects'!G3,$C$69:$D$70)*12+'Shared &amp; Allocation'!J29*12</f>
        <v>37.58213825614597</v>
      </c>
      <c r="D45" s="163">
        <f>DSUM(Development,'Development Projects'!G3,I66:J79)+DSUM(Development,'Development Projects'!G3,$C$72:$D$73)*12+'Shared &amp; Allocation'!K29*12</f>
        <v>37.58213825614597</v>
      </c>
      <c r="E45" s="163">
        <f>DSUM(Development,'Development Projects'!G3,K66:L79)+DSUM(Development,'Development Projects'!G3,$C$75:$D$76)*12+'Shared &amp; Allocation'!L29*12</f>
        <v>37.58213825614597</v>
      </c>
      <c r="F45" s="163">
        <f>DSUM(Development,'Development Projects'!G3,M66:N79)+DSUM(Development,'Development Projects'!G3,$C$78:$D$79)*12+'Shared &amp; Allocation'!M29*12</f>
        <v>37.58213825614597</v>
      </c>
      <c r="G45" s="163">
        <f>SUM(B45:F45)</f>
        <v>437.9106912807299</v>
      </c>
    </row>
    <row r="46" spans="1:7" ht="12.75">
      <c r="A46" s="1" t="str">
        <f>'Chart of Accounts'!$D$10</f>
        <v>Insurance</v>
      </c>
      <c r="B46" s="163">
        <f>'Shared &amp; Allocation'!I30*12</f>
        <v>125.27379418715321</v>
      </c>
      <c r="C46" s="163">
        <f>'Shared &amp; Allocation'!J30*12</f>
        <v>125.27379418715321</v>
      </c>
      <c r="D46" s="163">
        <f>'Shared &amp; Allocation'!K30*12</f>
        <v>125.27379418715321</v>
      </c>
      <c r="E46" s="163">
        <f>'Shared &amp; Allocation'!L30*12</f>
        <v>125.27379418715321</v>
      </c>
      <c r="F46" s="163">
        <f>'Shared &amp; Allocation'!M30*12</f>
        <v>125.27379418715321</v>
      </c>
      <c r="G46" s="163">
        <f>SUM(B46:F46)</f>
        <v>626.3689709357661</v>
      </c>
    </row>
    <row r="47" spans="1:7" ht="12.75">
      <c r="A47" s="1" t="str">
        <f>'Chart of Accounts'!$D$11</f>
        <v>Food</v>
      </c>
      <c r="B47" s="163">
        <f>DSUM(Development,'Development Projects'!H3,E66:F79)+DSUM(Development,'Development Projects'!H3,$C$66:$D$67)*12</f>
        <v>700</v>
      </c>
      <c r="C47" s="163">
        <f>DSUM(Development,'Development Projects'!H3,G66:H79)+DSUM(Development,'Development Projects'!H3,$C$69:$D$70)*12</f>
        <v>0</v>
      </c>
      <c r="D47" s="163">
        <f>DSUM(Development,'Development Projects'!H3,I66:J79)+DSUM(Development,'Development Projects'!H3,$C$72:$D$73)*12</f>
        <v>0</v>
      </c>
      <c r="E47" s="163">
        <f>DSUM(Development,'Development Projects'!H3,K66:L79)+DSUM(Development,'Development Projects'!H3,$C$75:$D$76)*12</f>
        <v>0</v>
      </c>
      <c r="F47" s="163">
        <f>DSUM(Development,'Development Projects'!H3,M66:N79)+DSUM(Development,'Development Projects'!H3,$C$78:$D$79)*12</f>
        <v>0</v>
      </c>
      <c r="G47" s="163">
        <f>SUM(B47:F47)</f>
        <v>700</v>
      </c>
    </row>
    <row r="48" spans="1:7" ht="12.75">
      <c r="A48" s="1" t="str">
        <f>'Chart of Accounts'!$D$12</f>
        <v>Misc. Exp.</v>
      </c>
      <c r="B48" s="163">
        <f>'Shared &amp; Allocation'!I31*12+DSUM(Development,'Development Projects'!$I$3,C66:D67)*12+DSUM(Development,'Development Projects'!$I$3,E66:F79)</f>
        <v>25.054758837430647</v>
      </c>
      <c r="C48" s="163">
        <f>'Shared &amp; Allocation'!J31*12+DSUM(Development,'Development Projects'!$I$3,C69:D70)*12+DSUM(Development,'Development Projects'!$I$3,G66:H79)</f>
        <v>25.054758837430647</v>
      </c>
      <c r="D48" s="163">
        <f>'Shared &amp; Allocation'!K31*12+DSUM(Development,'Development Projects'!$I$3,C72:D73)*12+DSUM(Development,'Development Projects'!$I$3,I66:J79)</f>
        <v>25.054758837430647</v>
      </c>
      <c r="E48" s="163">
        <f>'Shared &amp; Allocation'!L31*12+DSUM(Development,'Development Projects'!$I$3,C75:D76)*12+DSUM(Development,'Development Projects'!$I$3,K66:L79)</f>
        <v>25.054758837430647</v>
      </c>
      <c r="F48" s="163">
        <f>'Shared &amp; Allocation'!M31*12+DSUM(Development,'Development Projects'!$I$3,C78:D79)*12+DSUM(Development,'Development Projects'!$I$3,M66:N79)</f>
        <v>25.054758837430647</v>
      </c>
      <c r="G48" s="163">
        <f>SUM(B48:F48)</f>
        <v>125.27379418715324</v>
      </c>
    </row>
    <row r="49" spans="1:7" ht="13.5" thickBot="1">
      <c r="A49" s="1" t="str">
        <f>'Chart of Accounts'!$D$13</f>
        <v>Fees</v>
      </c>
      <c r="B49" s="226">
        <f>DSUM(Development,'Development Projects'!J3,E66:F79)+DSUM(Development,'Development Projects'!J3,$C$66:$D$67)*12</f>
        <v>0</v>
      </c>
      <c r="C49" s="226">
        <f>DSUM(Development,'Development Projects'!J3,G66:H79)+DSUM(Development,'Development Projects'!J3,$C$69:$D$70)*12</f>
        <v>0</v>
      </c>
      <c r="D49" s="226">
        <f>DSUM(Development,'Development Projects'!J3,I66:J79)+DSUM(Development,'Development Projects'!J3,$C$72:$D$73)*12</f>
        <v>0</v>
      </c>
      <c r="E49" s="226">
        <f>DSUM(Development,'Development Projects'!J3,K66:L79)+DSUM(Development,'Development Projects'!J3,$C$75:$D$76)*12</f>
        <v>0</v>
      </c>
      <c r="F49" s="226">
        <f>DSUM(Development,'Development Projects'!J3,M66:N79)+DSUM(Development,'Development Projects'!J3,$C$78:$D$79)*12</f>
        <v>0</v>
      </c>
      <c r="G49" s="226">
        <f>SUM(B49:F49)</f>
        <v>0</v>
      </c>
    </row>
    <row r="50" spans="1:7" ht="12.75">
      <c r="A50" s="176" t="str">
        <f>'Chart of Accounts'!D8</f>
        <v>General  / Misc.</v>
      </c>
      <c r="B50" s="163">
        <f aca="true" t="shared" si="7" ref="B50:G50">SUM(B45:B49)</f>
        <v>1137.91069128073</v>
      </c>
      <c r="C50" s="163">
        <f t="shared" si="7"/>
        <v>187.91069128072985</v>
      </c>
      <c r="D50" s="163">
        <f t="shared" si="7"/>
        <v>187.91069128072985</v>
      </c>
      <c r="E50" s="163">
        <f t="shared" si="7"/>
        <v>187.91069128072985</v>
      </c>
      <c r="F50" s="163">
        <f t="shared" si="7"/>
        <v>187.91069128072985</v>
      </c>
      <c r="G50" s="163">
        <f t="shared" si="7"/>
        <v>1889.5534564036493</v>
      </c>
    </row>
    <row r="51" spans="1:7" ht="12.75">
      <c r="A51" s="3"/>
      <c r="B51" s="163"/>
      <c r="C51" s="163"/>
      <c r="D51" s="163"/>
      <c r="E51" s="163"/>
      <c r="F51" s="163"/>
      <c r="G51" s="163"/>
    </row>
    <row r="52" spans="1:7" ht="12.75">
      <c r="A52" s="177" t="str">
        <f>'Chart of Accounts'!D16</f>
        <v>Postage</v>
      </c>
      <c r="B52" s="163">
        <f>DSUM(Development,'Development Projects'!K3,E66:F79)+DSUM(Development,'Development Projects'!K3,$C$66:$D$67)*12+'Shared &amp; Allocation'!I32*12</f>
        <v>2612.6368970935764</v>
      </c>
      <c r="C52" s="163">
        <f>DSUM(Development,'Development Projects'!K3,G66:H79)+DSUM(Development,'Development Projects'!K3,$C$69:$D$70)*12+'Shared &amp; Allocation'!J32*12+Membership!E59</f>
        <v>4482.636897093576</v>
      </c>
      <c r="D52" s="163">
        <f>DSUM(Development,'Development Projects'!K3,I66:J79)+DSUM(Development,'Development Projects'!K3,$C$72:$D$73)*12+'Shared &amp; Allocation'!K32*12</f>
        <v>62.63689709357661</v>
      </c>
      <c r="E52" s="163">
        <f>DSUM(Development,'Development Projects'!K3,K66:L79)+DSUM(Development,'Development Projects'!K3,$C$75:$D$76)*12+'Shared &amp; Allocation'!L32*12</f>
        <v>62.63689709357661</v>
      </c>
      <c r="F52" s="163">
        <f>DSUM(Development,'Development Projects'!K3,M66:N79)+DSUM(Development,'Development Projects'!K3,$C$78:$D$79)*12+'Shared &amp; Allocation'!M32*12</f>
        <v>62.63689709357661</v>
      </c>
      <c r="G52" s="163">
        <f>SUM(B52:F52)</f>
        <v>7283.184485467882</v>
      </c>
    </row>
    <row r="53" spans="2:7" ht="12.75">
      <c r="B53" s="163"/>
      <c r="C53" s="163"/>
      <c r="D53" s="163"/>
      <c r="E53" s="163"/>
      <c r="F53" s="163"/>
      <c r="G53" s="163"/>
    </row>
    <row r="54" spans="1:7" ht="12.75">
      <c r="A54" s="176" t="str">
        <f>'Chart of Accounts'!D18</f>
        <v>Travel</v>
      </c>
      <c r="B54" s="163">
        <f>DSUM(Development,'Development Projects'!L3,E66:F79)+DSUM(Development,'Development Projects'!L3,$C$66:$D$67)*12</f>
        <v>0</v>
      </c>
      <c r="C54" s="163">
        <f>DSUM(Development,'Development Projects'!L3,G66:H79)+DSUM(Development,'Development Projects'!L3,$C$69:$D$70)*12</f>
        <v>0</v>
      </c>
      <c r="D54" s="163">
        <f>DSUM(Development,'Development Projects'!L3,I66:J79)+DSUM(Development,'Development Projects'!L3,$C$72:$D$73)*12</f>
        <v>0</v>
      </c>
      <c r="E54" s="163">
        <f>DSUM(Development,'Development Projects'!L3,K66:L79)+DSUM(Development,'Development Projects'!L3,$C$75:$D$76)*12</f>
        <v>0</v>
      </c>
      <c r="F54" s="163">
        <f>DSUM(Development,'Development Projects'!L3,M66:N79)+DSUM(Development,'Development Projects'!L3,$C$78:$D$79)*12</f>
        <v>0</v>
      </c>
      <c r="G54" s="163">
        <f>SUM(B54:F54)</f>
        <v>0</v>
      </c>
    </row>
    <row r="55" spans="1:7" ht="12.75">
      <c r="A55" s="3"/>
      <c r="B55" s="163"/>
      <c r="C55" s="163"/>
      <c r="D55" s="163"/>
      <c r="E55" s="163"/>
      <c r="F55" s="163"/>
      <c r="G55" s="163"/>
    </row>
    <row r="56" spans="1:7" ht="12.75">
      <c r="A56" s="1" t="str">
        <f>'Chart of Accounts'!$D$21</f>
        <v>Printing</v>
      </c>
      <c r="B56" s="163">
        <f>DSUM(Development,'Development Projects'!M3,E66:F79)+DSUM(Development,'Development Projects'!M3,$C$66:$D$67)*12+'Shared &amp; Allocation'!I33*12</f>
        <v>2675.0547588374307</v>
      </c>
      <c r="C56" s="163">
        <f>DSUM(Development,'Development Projects'!M3,G66:H79)+DSUM(Development,'Development Projects'!M3,$C$69:$D$70)*12+'Shared &amp; Allocation'!J33*12+Membership!F59</f>
        <v>6825.05475883743</v>
      </c>
      <c r="D56" s="163">
        <f>DSUM(Development,'Development Projects'!M3,I66:J79)+DSUM(Development,'Development Projects'!M3,$C$72:$D$73)*12+'Shared &amp; Allocation'!K33*12</f>
        <v>25.054758837430647</v>
      </c>
      <c r="E56" s="163">
        <f>DSUM(Development,'Development Projects'!M3,K66:L79)+DSUM(Development,'Development Projects'!M3,$C$75:$D$76)*12+'Shared &amp; Allocation'!L33*12</f>
        <v>25.054758837430647</v>
      </c>
      <c r="F56" s="163">
        <f>DSUM(Development,'Development Projects'!M3,M66:N79)+DSUM(Development,'Development Projects'!M3,$C$78:$D$79)*12+'Shared &amp; Allocation'!M33*12</f>
        <v>25.054758837430647</v>
      </c>
      <c r="G56" s="163">
        <f>SUM(B56:F56)</f>
        <v>9575.273794187151</v>
      </c>
    </row>
    <row r="57" spans="1:7" ht="12.75">
      <c r="A57" s="1" t="str">
        <f>'Chart of Accounts'!$D$22</f>
        <v>Media </v>
      </c>
      <c r="B57" s="163"/>
      <c r="C57" s="163"/>
      <c r="D57" s="163"/>
      <c r="E57" s="163"/>
      <c r="F57" s="163"/>
      <c r="G57" s="163">
        <f>SUM(B57:F57)</f>
        <v>0</v>
      </c>
    </row>
    <row r="58" spans="1:7" ht="12.75">
      <c r="A58" s="1" t="str">
        <f>'Chart of Accounts'!$D$23</f>
        <v>Conf./Training</v>
      </c>
      <c r="B58" s="163">
        <f>DSUM(Development,'Development Projects'!N3,E66:F79)+DSUM(Development,'Development Projects'!N3,$C$66:$D$67)*12</f>
        <v>0</v>
      </c>
      <c r="C58" s="163">
        <f>DSUM(Development,'Development Projects'!N3,G66:H79)+DSUM(Development,'Development Projects'!N3,$C$69:$D$70)*12</f>
        <v>0</v>
      </c>
      <c r="D58" s="163">
        <f>DSUM(Development,'Development Projects'!N3,I66:J79)+DSUM(Development,'Development Projects'!N3,$C$72:$D$73)*12</f>
        <v>0</v>
      </c>
      <c r="E58" s="163">
        <f>DSUM(Development,'Development Projects'!N3,K66:L79)+DSUM(Development,'Development Projects'!N3,$C$75:$D$76)*12</f>
        <v>0</v>
      </c>
      <c r="F58" s="163">
        <f>DSUM(Development,'Development Projects'!N3,M66:N79)+DSUM(Development,'Development Projects'!N3,$C$78:$D$79)*12</f>
        <v>0</v>
      </c>
      <c r="G58" s="163">
        <f>SUM(B58:F58)</f>
        <v>0</v>
      </c>
    </row>
    <row r="59" spans="1:7" ht="13.5" thickBot="1">
      <c r="A59" s="1" t="str">
        <f>'Chart of Accounts'!$D$24</f>
        <v>Property Acq.</v>
      </c>
      <c r="B59" s="226"/>
      <c r="C59" s="226"/>
      <c r="D59" s="226"/>
      <c r="E59" s="226"/>
      <c r="F59" s="226"/>
      <c r="G59" s="226">
        <f>SUM(B59:F59)</f>
        <v>0</v>
      </c>
    </row>
    <row r="60" spans="1:7" ht="12.75">
      <c r="A60" s="176" t="str">
        <f>'Chart of Accounts'!D20</f>
        <v>Project Expenses</v>
      </c>
      <c r="B60" s="163">
        <f aca="true" t="shared" si="8" ref="B60:G60">SUM(B56:B59)</f>
        <v>2675.0547588374307</v>
      </c>
      <c r="C60" s="163">
        <f t="shared" si="8"/>
        <v>6825.05475883743</v>
      </c>
      <c r="D60" s="163">
        <f t="shared" si="8"/>
        <v>25.054758837430647</v>
      </c>
      <c r="E60" s="163">
        <f t="shared" si="8"/>
        <v>25.054758837430647</v>
      </c>
      <c r="F60" s="163">
        <f t="shared" si="8"/>
        <v>25.054758837430647</v>
      </c>
      <c r="G60" s="163">
        <f t="shared" si="8"/>
        <v>9575.273794187151</v>
      </c>
    </row>
    <row r="61" spans="2:4" ht="12.75">
      <c r="B61" s="49"/>
      <c r="C61" s="49"/>
      <c r="D61" s="49"/>
    </row>
    <row r="62" spans="1:7" ht="15">
      <c r="A62" s="7" t="s">
        <v>44</v>
      </c>
      <c r="B62" s="222">
        <f>B20+B28+B32+B38++B43+B50+B52+B54+B60</f>
        <v>23152.698484565266</v>
      </c>
      <c r="C62" s="222">
        <f>C20+C28+C32+C38++C43+C50+C52+C54+C60</f>
        <v>32522.698484565262</v>
      </c>
      <c r="D62" s="222">
        <f>D20+D28+D32+D38+D43+D50+D52+D54+D60</f>
        <v>14502.698484565266</v>
      </c>
      <c r="E62" s="222">
        <f>E20+E28+E32+E38+E43+E50+E52+E54+E60</f>
        <v>14502.698484565266</v>
      </c>
      <c r="F62" s="222">
        <f>F20+F28+F32+F38+F43+F50+F52+F54+F60</f>
        <v>14502.698484565266</v>
      </c>
      <c r="G62" s="222">
        <f>G20+G28+G32+G38+G43+G50+G52+G54+G60</f>
        <v>99183.49242282633</v>
      </c>
    </row>
    <row r="64" spans="1:7" ht="15">
      <c r="A64" s="7" t="s">
        <v>161</v>
      </c>
      <c r="B64" s="227">
        <f aca="true" t="shared" si="9" ref="B64:G64">B12-B62</f>
        <v>-11800.031762962599</v>
      </c>
      <c r="C64" s="227">
        <f t="shared" si="9"/>
        <v>59277.30151543474</v>
      </c>
      <c r="D64" s="227">
        <f t="shared" si="9"/>
        <v>17297.301515434734</v>
      </c>
      <c r="E64" s="227">
        <f t="shared" si="9"/>
        <v>-14502.698484565266</v>
      </c>
      <c r="F64" s="227">
        <f t="shared" si="9"/>
        <v>-14502.698484565266</v>
      </c>
      <c r="G64" s="227">
        <f t="shared" si="9"/>
        <v>35769.17429877634</v>
      </c>
    </row>
    <row r="66" spans="3:15" ht="12.75">
      <c r="C66" s="251" t="s">
        <v>153</v>
      </c>
      <c r="D66" s="251" t="s">
        <v>176</v>
      </c>
      <c r="E66" s="251" t="s">
        <v>153</v>
      </c>
      <c r="F66" s="251" t="s">
        <v>176</v>
      </c>
      <c r="G66" s="251" t="s">
        <v>153</v>
      </c>
      <c r="H66" s="251" t="s">
        <v>176</v>
      </c>
      <c r="I66" s="251" t="s">
        <v>153</v>
      </c>
      <c r="J66" s="251" t="s">
        <v>176</v>
      </c>
      <c r="K66" s="251" t="s">
        <v>153</v>
      </c>
      <c r="L66" s="251" t="s">
        <v>176</v>
      </c>
      <c r="M66" s="251" t="s">
        <v>153</v>
      </c>
      <c r="N66" s="251" t="s">
        <v>176</v>
      </c>
      <c r="O66" s="269"/>
    </row>
    <row r="67" spans="3:15" ht="12.75">
      <c r="C67" s="274" t="str">
        <f>'Chart of Accounts'!$A$16</f>
        <v>Major Donors</v>
      </c>
      <c r="D67" s="220" t="s">
        <v>187</v>
      </c>
      <c r="E67" s="274" t="str">
        <f>'Chart of Accounts'!$A$16</f>
        <v>Major Donors</v>
      </c>
      <c r="F67" s="266">
        <f>'Chart of Accounts'!$E$3</f>
        <v>36892</v>
      </c>
      <c r="G67" s="274" t="str">
        <f>'Chart of Accounts'!$A$17</f>
        <v>Membership</v>
      </c>
      <c r="H67" s="266">
        <f>'Chart of Accounts'!$E$3</f>
        <v>36892</v>
      </c>
      <c r="I67" s="274" t="str">
        <f>'Chart of Accounts'!$A$18</f>
        <v>Contributions</v>
      </c>
      <c r="J67" s="266">
        <f>'Chart of Accounts'!$E$3</f>
        <v>36892</v>
      </c>
      <c r="K67" s="274" t="str">
        <f>'Chart of Accounts'!$A$19</f>
        <v>Grants</v>
      </c>
      <c r="L67" s="266">
        <f>'Chart of Accounts'!$E$3</f>
        <v>36892</v>
      </c>
      <c r="M67" s="274" t="str">
        <f>'Chart of Accounts'!$A$20</f>
        <v>Misc. Dev.</v>
      </c>
      <c r="N67" s="266">
        <f>'Chart of Accounts'!$E$3</f>
        <v>36892</v>
      </c>
      <c r="O67" s="269"/>
    </row>
    <row r="68" spans="3:15" ht="12.75">
      <c r="C68" s="269"/>
      <c r="D68" s="266"/>
      <c r="E68" s="274" t="str">
        <f>'Chart of Accounts'!$A$16</f>
        <v>Major Donors</v>
      </c>
      <c r="F68" s="266">
        <f>'Chart of Accounts'!$E$4</f>
        <v>36923</v>
      </c>
      <c r="G68" s="274" t="str">
        <f>'Chart of Accounts'!$A$17</f>
        <v>Membership</v>
      </c>
      <c r="H68" s="266">
        <f>'Chart of Accounts'!$E$4</f>
        <v>36923</v>
      </c>
      <c r="I68" s="274" t="str">
        <f>'Chart of Accounts'!$A$18</f>
        <v>Contributions</v>
      </c>
      <c r="J68" s="266">
        <f>'Chart of Accounts'!$E$4</f>
        <v>36923</v>
      </c>
      <c r="K68" s="274" t="str">
        <f>'Chart of Accounts'!$A$19</f>
        <v>Grants</v>
      </c>
      <c r="L68" s="266">
        <f>'Chart of Accounts'!$E$4</f>
        <v>36923</v>
      </c>
      <c r="M68" s="274" t="str">
        <f>'Chart of Accounts'!$A$20</f>
        <v>Misc. Dev.</v>
      </c>
      <c r="N68" s="266">
        <f>'Chart of Accounts'!$E$4</f>
        <v>36923</v>
      </c>
      <c r="O68" s="269"/>
    </row>
    <row r="69" spans="3:15" ht="12.75">
      <c r="C69" s="251" t="s">
        <v>153</v>
      </c>
      <c r="D69" s="251" t="s">
        <v>176</v>
      </c>
      <c r="E69" s="274" t="str">
        <f>'Chart of Accounts'!$A$16</f>
        <v>Major Donors</v>
      </c>
      <c r="F69" s="266">
        <f>'Chart of Accounts'!$E$5</f>
        <v>36951</v>
      </c>
      <c r="G69" s="274" t="str">
        <f>'Chart of Accounts'!$A$17</f>
        <v>Membership</v>
      </c>
      <c r="H69" s="266">
        <f>'Chart of Accounts'!$E$5</f>
        <v>36951</v>
      </c>
      <c r="I69" s="274" t="str">
        <f>'Chart of Accounts'!$A$18</f>
        <v>Contributions</v>
      </c>
      <c r="J69" s="266">
        <f>'Chart of Accounts'!$E$5</f>
        <v>36951</v>
      </c>
      <c r="K69" s="274" t="str">
        <f>'Chart of Accounts'!$A$19</f>
        <v>Grants</v>
      </c>
      <c r="L69" s="266">
        <f>'Chart of Accounts'!$E$5</f>
        <v>36951</v>
      </c>
      <c r="M69" s="274" t="str">
        <f>'Chart of Accounts'!$A$20</f>
        <v>Misc. Dev.</v>
      </c>
      <c r="N69" s="266">
        <f>'Chart of Accounts'!$E$5</f>
        <v>36951</v>
      </c>
      <c r="O69" s="269"/>
    </row>
    <row r="70" spans="3:15" ht="12.75">
      <c r="C70" s="274" t="str">
        <f>'Chart of Accounts'!$A$17</f>
        <v>Membership</v>
      </c>
      <c r="D70" s="220" t="s">
        <v>187</v>
      </c>
      <c r="E70" s="274" t="str">
        <f>'Chart of Accounts'!$A$16</f>
        <v>Major Donors</v>
      </c>
      <c r="F70" s="266">
        <f>'Chart of Accounts'!$E$6</f>
        <v>36982</v>
      </c>
      <c r="G70" s="274" t="str">
        <f>'Chart of Accounts'!$A$17</f>
        <v>Membership</v>
      </c>
      <c r="H70" s="266">
        <f>'Chart of Accounts'!$E$6</f>
        <v>36982</v>
      </c>
      <c r="I70" s="274" t="str">
        <f>'Chart of Accounts'!$A$18</f>
        <v>Contributions</v>
      </c>
      <c r="J70" s="266">
        <f>'Chart of Accounts'!$E$6</f>
        <v>36982</v>
      </c>
      <c r="K70" s="274" t="str">
        <f>'Chart of Accounts'!$A$19</f>
        <v>Grants</v>
      </c>
      <c r="L70" s="266">
        <f>'Chart of Accounts'!$E$6</f>
        <v>36982</v>
      </c>
      <c r="M70" s="274" t="str">
        <f>'Chart of Accounts'!$A$20</f>
        <v>Misc. Dev.</v>
      </c>
      <c r="N70" s="266">
        <f>'Chart of Accounts'!$E$6</f>
        <v>36982</v>
      </c>
      <c r="O70" s="269"/>
    </row>
    <row r="71" spans="3:15" ht="12.75">
      <c r="C71" s="269"/>
      <c r="D71" s="269"/>
      <c r="E71" s="274" t="str">
        <f>'Chart of Accounts'!$A$16</f>
        <v>Major Donors</v>
      </c>
      <c r="F71" s="266">
        <f>'Chart of Accounts'!$E$7</f>
        <v>37012</v>
      </c>
      <c r="G71" s="274" t="str">
        <f>'Chart of Accounts'!$A$17</f>
        <v>Membership</v>
      </c>
      <c r="H71" s="266">
        <f>'Chart of Accounts'!$E$7</f>
        <v>37012</v>
      </c>
      <c r="I71" s="274" t="str">
        <f>'Chart of Accounts'!$A$18</f>
        <v>Contributions</v>
      </c>
      <c r="J71" s="266">
        <f>'Chart of Accounts'!$E$7</f>
        <v>37012</v>
      </c>
      <c r="K71" s="274" t="str">
        <f>'Chart of Accounts'!$A$19</f>
        <v>Grants</v>
      </c>
      <c r="L71" s="266">
        <f>'Chart of Accounts'!$E$7</f>
        <v>37012</v>
      </c>
      <c r="M71" s="274" t="str">
        <f>'Chart of Accounts'!$A$20</f>
        <v>Misc. Dev.</v>
      </c>
      <c r="N71" s="266">
        <f>'Chart of Accounts'!$E$7</f>
        <v>37012</v>
      </c>
      <c r="O71" s="269"/>
    </row>
    <row r="72" spans="3:15" ht="12.75">
      <c r="C72" s="251" t="s">
        <v>153</v>
      </c>
      <c r="D72" s="251" t="s">
        <v>176</v>
      </c>
      <c r="E72" s="274" t="str">
        <f>'Chart of Accounts'!$A$16</f>
        <v>Major Donors</v>
      </c>
      <c r="F72" s="266">
        <f>'Chart of Accounts'!$E$8</f>
        <v>37043</v>
      </c>
      <c r="G72" s="274" t="str">
        <f>'Chart of Accounts'!$A$17</f>
        <v>Membership</v>
      </c>
      <c r="H72" s="266">
        <f>'Chart of Accounts'!$E$8</f>
        <v>37043</v>
      </c>
      <c r="I72" s="274" t="str">
        <f>'Chart of Accounts'!$A$18</f>
        <v>Contributions</v>
      </c>
      <c r="J72" s="266">
        <f>'Chart of Accounts'!$E$8</f>
        <v>37043</v>
      </c>
      <c r="K72" s="274" t="str">
        <f>'Chart of Accounts'!$A$19</f>
        <v>Grants</v>
      </c>
      <c r="L72" s="266">
        <f>'Chart of Accounts'!$E$8</f>
        <v>37043</v>
      </c>
      <c r="M72" s="274" t="str">
        <f>'Chart of Accounts'!$A$20</f>
        <v>Misc. Dev.</v>
      </c>
      <c r="N72" s="266">
        <f>'Chart of Accounts'!$E$8</f>
        <v>37043</v>
      </c>
      <c r="O72" s="269"/>
    </row>
    <row r="73" spans="3:15" ht="12.75">
      <c r="C73" s="274" t="str">
        <f>'Chart of Accounts'!$A$18</f>
        <v>Contributions</v>
      </c>
      <c r="D73" s="220" t="s">
        <v>187</v>
      </c>
      <c r="E73" s="274" t="str">
        <f>'Chart of Accounts'!$A$16</f>
        <v>Major Donors</v>
      </c>
      <c r="F73" s="266">
        <f>'Chart of Accounts'!$E$9</f>
        <v>37073</v>
      </c>
      <c r="G73" s="274" t="str">
        <f>'Chart of Accounts'!$A$17</f>
        <v>Membership</v>
      </c>
      <c r="H73" s="266">
        <f>'Chart of Accounts'!$E$9</f>
        <v>37073</v>
      </c>
      <c r="I73" s="274" t="str">
        <f>'Chart of Accounts'!$A$18</f>
        <v>Contributions</v>
      </c>
      <c r="J73" s="266">
        <f>'Chart of Accounts'!$E$9</f>
        <v>37073</v>
      </c>
      <c r="K73" s="274" t="str">
        <f>'Chart of Accounts'!$A$19</f>
        <v>Grants</v>
      </c>
      <c r="L73" s="266">
        <f>'Chart of Accounts'!$E$9</f>
        <v>37073</v>
      </c>
      <c r="M73" s="274" t="str">
        <f>'Chart of Accounts'!$A$20</f>
        <v>Misc. Dev.</v>
      </c>
      <c r="N73" s="266">
        <f>'Chart of Accounts'!$E$9</f>
        <v>37073</v>
      </c>
      <c r="O73" s="269"/>
    </row>
    <row r="74" spans="3:15" ht="12.75">
      <c r="C74" s="269"/>
      <c r="D74" s="269"/>
      <c r="E74" s="274" t="str">
        <f>'Chart of Accounts'!$A$16</f>
        <v>Major Donors</v>
      </c>
      <c r="F74" s="266">
        <f>'Chart of Accounts'!$E$10</f>
        <v>37104</v>
      </c>
      <c r="G74" s="274" t="str">
        <f>'Chart of Accounts'!$A$17</f>
        <v>Membership</v>
      </c>
      <c r="H74" s="266">
        <f>'Chart of Accounts'!$E$10</f>
        <v>37104</v>
      </c>
      <c r="I74" s="274" t="str">
        <f>'Chart of Accounts'!$A$18</f>
        <v>Contributions</v>
      </c>
      <c r="J74" s="266">
        <f>'Chart of Accounts'!$E$10</f>
        <v>37104</v>
      </c>
      <c r="K74" s="274" t="str">
        <f>'Chart of Accounts'!$A$19</f>
        <v>Grants</v>
      </c>
      <c r="L74" s="266">
        <f>'Chart of Accounts'!$E$10</f>
        <v>37104</v>
      </c>
      <c r="M74" s="274" t="str">
        <f>'Chart of Accounts'!$A$20</f>
        <v>Misc. Dev.</v>
      </c>
      <c r="N74" s="266">
        <f>'Chart of Accounts'!$E$10</f>
        <v>37104</v>
      </c>
      <c r="O74" s="269"/>
    </row>
    <row r="75" spans="3:15" ht="12.75">
      <c r="C75" s="251" t="s">
        <v>153</v>
      </c>
      <c r="D75" s="251" t="s">
        <v>176</v>
      </c>
      <c r="E75" s="274" t="str">
        <f>'Chart of Accounts'!$A$16</f>
        <v>Major Donors</v>
      </c>
      <c r="F75" s="266">
        <f>'Chart of Accounts'!$E$11</f>
        <v>37135</v>
      </c>
      <c r="G75" s="274" t="str">
        <f>'Chart of Accounts'!$A$17</f>
        <v>Membership</v>
      </c>
      <c r="H75" s="266">
        <f>'Chart of Accounts'!$E$11</f>
        <v>37135</v>
      </c>
      <c r="I75" s="274" t="str">
        <f>'Chart of Accounts'!$A$18</f>
        <v>Contributions</v>
      </c>
      <c r="J75" s="266">
        <f>'Chart of Accounts'!$E$11</f>
        <v>37135</v>
      </c>
      <c r="K75" s="274" t="str">
        <f>'Chart of Accounts'!$A$19</f>
        <v>Grants</v>
      </c>
      <c r="L75" s="266">
        <f>'Chart of Accounts'!$E$11</f>
        <v>37135</v>
      </c>
      <c r="M75" s="274" t="str">
        <f>'Chart of Accounts'!$A$20</f>
        <v>Misc. Dev.</v>
      </c>
      <c r="N75" s="266">
        <f>'Chart of Accounts'!$E$11</f>
        <v>37135</v>
      </c>
      <c r="O75" s="269"/>
    </row>
    <row r="76" spans="3:15" ht="12.75">
      <c r="C76" s="274" t="str">
        <f>'Chart of Accounts'!$A$19</f>
        <v>Grants</v>
      </c>
      <c r="D76" s="220" t="s">
        <v>187</v>
      </c>
      <c r="E76" s="274" t="str">
        <f>'Chart of Accounts'!$A$16</f>
        <v>Major Donors</v>
      </c>
      <c r="F76" s="266">
        <f>'Chart of Accounts'!$E$12</f>
        <v>37165</v>
      </c>
      <c r="G76" s="274" t="str">
        <f>'Chart of Accounts'!$A$17</f>
        <v>Membership</v>
      </c>
      <c r="H76" s="266">
        <f>'Chart of Accounts'!$E$12</f>
        <v>37165</v>
      </c>
      <c r="I76" s="274" t="str">
        <f>'Chart of Accounts'!$A$18</f>
        <v>Contributions</v>
      </c>
      <c r="J76" s="266">
        <f>'Chart of Accounts'!$E$12</f>
        <v>37165</v>
      </c>
      <c r="K76" s="274" t="str">
        <f>'Chart of Accounts'!$A$19</f>
        <v>Grants</v>
      </c>
      <c r="L76" s="266">
        <f>'Chart of Accounts'!$E$12</f>
        <v>37165</v>
      </c>
      <c r="M76" s="274" t="str">
        <f>'Chart of Accounts'!$A$20</f>
        <v>Misc. Dev.</v>
      </c>
      <c r="N76" s="266">
        <f>'Chart of Accounts'!$E$12</f>
        <v>37165</v>
      </c>
      <c r="O76" s="269"/>
    </row>
    <row r="77" spans="3:15" ht="12.75">
      <c r="C77" s="269"/>
      <c r="D77" s="269"/>
      <c r="E77" s="274" t="str">
        <f>'Chart of Accounts'!$A$16</f>
        <v>Major Donors</v>
      </c>
      <c r="F77" s="266">
        <f>'Chart of Accounts'!$E$13</f>
        <v>37196</v>
      </c>
      <c r="G77" s="274" t="str">
        <f>'Chart of Accounts'!$A$17</f>
        <v>Membership</v>
      </c>
      <c r="H77" s="266">
        <f>'Chart of Accounts'!$E$13</f>
        <v>37196</v>
      </c>
      <c r="I77" s="274" t="str">
        <f>'Chart of Accounts'!$A$18</f>
        <v>Contributions</v>
      </c>
      <c r="J77" s="266">
        <f>'Chart of Accounts'!$E$13</f>
        <v>37196</v>
      </c>
      <c r="K77" s="274" t="str">
        <f>'Chart of Accounts'!$A$19</f>
        <v>Grants</v>
      </c>
      <c r="L77" s="266">
        <f>'Chart of Accounts'!$E$13</f>
        <v>37196</v>
      </c>
      <c r="M77" s="274" t="str">
        <f>'Chart of Accounts'!$A$20</f>
        <v>Misc. Dev.</v>
      </c>
      <c r="N77" s="266">
        <f>'Chart of Accounts'!$E$13</f>
        <v>37196</v>
      </c>
      <c r="O77" s="269"/>
    </row>
    <row r="78" spans="3:15" ht="12.75">
      <c r="C78" s="251" t="s">
        <v>153</v>
      </c>
      <c r="D78" s="251" t="s">
        <v>176</v>
      </c>
      <c r="E78" s="274" t="str">
        <f>'Chart of Accounts'!$A$16</f>
        <v>Major Donors</v>
      </c>
      <c r="F78" s="266">
        <f>'Chart of Accounts'!$E$14</f>
        <v>37226</v>
      </c>
      <c r="G78" s="274" t="str">
        <f>'Chart of Accounts'!$A$17</f>
        <v>Membership</v>
      </c>
      <c r="H78" s="266">
        <f>'Chart of Accounts'!$E$14</f>
        <v>37226</v>
      </c>
      <c r="I78" s="274" t="str">
        <f>'Chart of Accounts'!$A$18</f>
        <v>Contributions</v>
      </c>
      <c r="J78" s="266">
        <f>'Chart of Accounts'!$E$14</f>
        <v>37226</v>
      </c>
      <c r="K78" s="274" t="str">
        <f>'Chart of Accounts'!$A$19</f>
        <v>Grants</v>
      </c>
      <c r="L78" s="266">
        <f>'Chart of Accounts'!$E$14</f>
        <v>37226</v>
      </c>
      <c r="M78" s="274" t="str">
        <f>'Chart of Accounts'!$A$20</f>
        <v>Misc. Dev.</v>
      </c>
      <c r="N78" s="266">
        <f>'Chart of Accounts'!$E$14</f>
        <v>37226</v>
      </c>
      <c r="O78" s="269"/>
    </row>
    <row r="79" spans="3:15" ht="12.75">
      <c r="C79" s="274" t="str">
        <f>'Chart of Accounts'!$A$20</f>
        <v>Misc. Dev.</v>
      </c>
      <c r="D79" s="220" t="s">
        <v>187</v>
      </c>
      <c r="E79" s="274" t="str">
        <f>'Chart of Accounts'!$A$16</f>
        <v>Major Donors</v>
      </c>
      <c r="F79" s="266" t="s">
        <v>188</v>
      </c>
      <c r="G79" s="274" t="str">
        <f>'Chart of Accounts'!$A$17</f>
        <v>Membership</v>
      </c>
      <c r="H79" s="266" t="s">
        <v>188</v>
      </c>
      <c r="I79" s="274" t="str">
        <f>'Chart of Accounts'!$A$18</f>
        <v>Contributions</v>
      </c>
      <c r="J79" s="266" t="s">
        <v>188</v>
      </c>
      <c r="K79" s="274" t="str">
        <f>'Chart of Accounts'!$A$19</f>
        <v>Grants</v>
      </c>
      <c r="L79" s="266" t="s">
        <v>188</v>
      </c>
      <c r="M79" s="274" t="str">
        <f>'Chart of Accounts'!$A$20</f>
        <v>Misc. Dev.</v>
      </c>
      <c r="N79" s="266" t="s">
        <v>188</v>
      </c>
      <c r="O79" s="269"/>
    </row>
    <row r="80" spans="3:15" ht="12.75"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</row>
  </sheetData>
  <sheetProtection sheet="1" objects="1" scenarios="1"/>
  <printOptions/>
  <pageMargins left="0.75" right="0.75" top="1" bottom="1" header="0.5" footer="0.5"/>
  <pageSetup fitToHeight="2" horizontalDpi="300" verticalDpi="300" orientation="landscape" scale="99" r:id="rId1"/>
  <headerFooter alignWithMargins="0">
    <oddFooter>&amp;CPage &amp;P</oddFooter>
  </headerFooter>
  <rowBreaks count="1" manualBreakCount="1">
    <brk id="33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8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4" width="15.7109375" style="1" customWidth="1"/>
    <col min="5" max="5" width="13.140625" style="1" customWidth="1"/>
    <col min="6" max="16384" width="9.140625" style="1" customWidth="1"/>
  </cols>
  <sheetData>
    <row r="1" spans="1:5" ht="12.75">
      <c r="A1" s="7" t="str">
        <f>'Chart of Accounts'!A5</f>
        <v>Administration</v>
      </c>
      <c r="B1" s="251" t="s">
        <v>153</v>
      </c>
      <c r="C1" s="251" t="s">
        <v>153</v>
      </c>
      <c r="D1" s="251" t="s">
        <v>153</v>
      </c>
      <c r="E1" s="92"/>
    </row>
    <row r="2" spans="2:5" ht="12.75">
      <c r="B2" s="253" t="str">
        <f>'Chart of Accounts'!$A$21</f>
        <v>Bd. Dev./ Mgt.</v>
      </c>
      <c r="C2" s="253" t="str">
        <f>'Chart of Accounts'!$A$22</f>
        <v>Staff Dev.</v>
      </c>
      <c r="D2" s="253" t="str">
        <f>'Chart of Accounts'!$A$23</f>
        <v>Gen. Admin.</v>
      </c>
      <c r="E2" s="17" t="s">
        <v>46</v>
      </c>
    </row>
    <row r="3" spans="1:4" ht="12.75">
      <c r="A3" s="7" t="s">
        <v>27</v>
      </c>
      <c r="B3" s="80"/>
      <c r="C3" s="80"/>
      <c r="D3" s="80"/>
    </row>
    <row r="4" spans="1:5" ht="12.75">
      <c r="A4" s="1" t="str">
        <f>'Chart of Accounts'!B4</f>
        <v>New Members</v>
      </c>
      <c r="B4" s="188">
        <f>'Unrestricted Revenue'!P33</f>
        <v>0</v>
      </c>
      <c r="C4" s="188">
        <f>'Unrestricted Revenue'!Q33</f>
        <v>0</v>
      </c>
      <c r="D4" s="188">
        <f>'Unrestricted Revenue'!R33</f>
        <v>0</v>
      </c>
      <c r="E4" s="188">
        <f aca="true" t="shared" si="0" ref="E4:E12">SUM(B4:D4)</f>
        <v>0</v>
      </c>
    </row>
    <row r="5" spans="1:5" ht="12.75">
      <c r="A5" s="1" t="str">
        <f>'Chart of Accounts'!B5</f>
        <v>Renewals</v>
      </c>
      <c r="B5" s="116">
        <f>'Unrestricted Revenue'!P34</f>
        <v>0</v>
      </c>
      <c r="C5" s="116">
        <f>'Unrestricted Revenue'!Q34</f>
        <v>0</v>
      </c>
      <c r="D5" s="116">
        <f>'Unrestricted Revenue'!R34</f>
        <v>0</v>
      </c>
      <c r="E5" s="116">
        <f t="shared" si="0"/>
        <v>0</v>
      </c>
    </row>
    <row r="6" spans="1:5" ht="12.75">
      <c r="A6" s="1" t="str">
        <f>'Chart of Accounts'!B6</f>
        <v>Appeals</v>
      </c>
      <c r="B6" s="116">
        <f>'Unrestricted Revenue'!P35</f>
        <v>0</v>
      </c>
      <c r="C6" s="116">
        <f>'Unrestricted Revenue'!Q35</f>
        <v>0</v>
      </c>
      <c r="D6" s="116">
        <f>'Unrestricted Revenue'!R35</f>
        <v>0</v>
      </c>
      <c r="E6" s="116">
        <f t="shared" si="0"/>
        <v>0</v>
      </c>
    </row>
    <row r="7" spans="1:5" ht="12.75">
      <c r="A7" s="1" t="str">
        <f>'Chart of Accounts'!B7</f>
        <v>Monthly Giving</v>
      </c>
      <c r="B7" s="116">
        <f>'Unrestricted Revenue'!P36+DSUM(Revenue,'Revenue Projects'!$D$2,B68:C69)*12+DSUM(Revenue,'Revenue Projects'!$D$2,D68:E81)</f>
        <v>0</v>
      </c>
      <c r="C7" s="116">
        <f>'Unrestricted Revenue'!Q36+DSUM(Revenue,'Revenue Projects'!$D$2,B71:C72)*12+DSUM(Revenue,'Revenue Projects'!$D$2,F68:G81)</f>
        <v>0</v>
      </c>
      <c r="D7" s="116">
        <f>'Unrestricted Revenue'!R36+DSUM(Revenue,'Revenue Projects'!$D$2,B74:C75)*12+DSUM(Revenue,'Revenue Projects'!$D$2,H68:I81)</f>
        <v>0</v>
      </c>
      <c r="E7" s="116">
        <f t="shared" si="0"/>
        <v>0</v>
      </c>
    </row>
    <row r="8" spans="1:5" ht="12.75">
      <c r="A8" s="1" t="str">
        <f>'Chart of Accounts'!B9</f>
        <v>Major Donors</v>
      </c>
      <c r="B8" s="116">
        <f>DSUM(MajorDonors,'Major Donors'!$D$2,B68:C69)*12+DSUM(MajorDonors,'Major Donors'!$D$2,D68:E81)+'Unrestricted Revenue'!P37</f>
        <v>0</v>
      </c>
      <c r="C8" s="116">
        <f>DSUM(MajorDonors,'Major Donors'!$D$2,B71:C72)*12+DSUM(MajorDonors,'Major Donors'!$D$2,F68:G81)+'Unrestricted Revenue'!Q37</f>
        <v>0</v>
      </c>
      <c r="D8" s="116">
        <f>DSUM(MajorDonors,'Major Donors'!$D$2,B74:C75)*12+DSUM(MajorDonors,'Major Donors'!$D$2,H68:I81)+'Unrestricted Revenue'!R37</f>
        <v>0</v>
      </c>
      <c r="E8" s="116">
        <f t="shared" si="0"/>
        <v>0</v>
      </c>
    </row>
    <row r="9" spans="1:5" ht="12.75">
      <c r="A9" s="1" t="str">
        <f>'Chart of Accounts'!B11</f>
        <v>Workplace Giving</v>
      </c>
      <c r="B9" s="116">
        <f>'Unrestricted Revenue'!P38+DSUM(Revenue,'Revenue Projects'!$E$2,B68:C69)*12+DSUM(Revenue,'Revenue Projects'!$E$2,D68:E81)</f>
        <v>0</v>
      </c>
      <c r="C9" s="116">
        <f>'Unrestricted Revenue'!Q38+DSUM(Revenue,'Revenue Projects'!$E$2,B71:C72)*12+DSUM(Revenue,'Revenue Projects'!$E$2,F68:G81)</f>
        <v>0</v>
      </c>
      <c r="D9" s="116">
        <f>'Unrestricted Revenue'!R38+DSUM(Revenue,'Revenue Projects'!$E$2,B74:C75)*12+DSUM(Revenue,'Revenue Projects'!$E$2,H68:I81)</f>
        <v>0</v>
      </c>
      <c r="E9" s="116">
        <f t="shared" si="0"/>
        <v>0</v>
      </c>
    </row>
    <row r="10" spans="1:5" ht="12.75">
      <c r="A10" s="1" t="str">
        <f>'Chart of Accounts'!B13</f>
        <v>Grants</v>
      </c>
      <c r="B10" s="116">
        <f>DSUM(Grants,Grants!$E$10,B68:C69)*12+DSUM(Grants,Grants!$E$10,D68:E81)+'Unrestricted Revenue'!P39</f>
        <v>0</v>
      </c>
      <c r="C10" s="116">
        <f>DSUM(Grants,Grants!$E$10,B71:C72)*12+DSUM(Grants,Grants!$E$10,F68:G81)+'Unrestricted Revenue'!Q39</f>
        <v>0</v>
      </c>
      <c r="D10" s="116">
        <f>DSUM(Grants,Grants!$E$10,B74:C75)*12+DSUM(Grants,Grants!$E$10,H68:I81)+'Unrestricted Revenue'!R39</f>
        <v>0</v>
      </c>
      <c r="E10" s="116">
        <f t="shared" si="0"/>
        <v>0</v>
      </c>
    </row>
    <row r="11" spans="1:5" ht="13.5" thickBot="1">
      <c r="A11" s="1" t="str">
        <f>'Chart of Accounts'!B15</f>
        <v>Other Income</v>
      </c>
      <c r="B11" s="13">
        <f>SUM('Unrestricted Revenue'!P29:P32)+'Unrestricted Revenue'!P40+DSUM(Revenue,'Revenue Projects'!$F$2,B68:C69)*12+DSUM(Revenue,'Revenue Projects'!$F$2,D68:E81)</f>
        <v>3000</v>
      </c>
      <c r="C11" s="13">
        <f>SUM('Unrestricted Revenue'!Q29:Q32)+'Unrestricted Revenue'!Q40+DSUM(Revenue,'Revenue Projects'!$F$2,B71:C72)*12+DSUM(Revenue,'Revenue Projects'!$F$2,F68:G81)</f>
        <v>0</v>
      </c>
      <c r="D11" s="13">
        <f>SUM('Unrestricted Revenue'!R29:R32)+'Unrestricted Revenue'!R40+DSUM(Revenue,'Revenue Projects'!$F$2,B74:C75)*12+DSUM(Revenue,'Revenue Projects'!$F$2,H68:I81)</f>
        <v>0</v>
      </c>
      <c r="E11" s="13">
        <f t="shared" si="0"/>
        <v>3000</v>
      </c>
    </row>
    <row r="12" spans="1:5" ht="15">
      <c r="A12" s="7" t="s">
        <v>160</v>
      </c>
      <c r="B12" s="224">
        <f>SUM(B4:B11)</f>
        <v>3000</v>
      </c>
      <c r="C12" s="222">
        <f>SUM(C4:C11)</f>
        <v>0</v>
      </c>
      <c r="D12" s="222">
        <f>SUM(D4:D11)</f>
        <v>0</v>
      </c>
      <c r="E12" s="222">
        <f t="shared" si="0"/>
        <v>3000</v>
      </c>
    </row>
    <row r="13" spans="2:5" ht="12.75">
      <c r="B13" s="82"/>
      <c r="C13" s="82"/>
      <c r="D13" s="82"/>
      <c r="E13" s="82"/>
    </row>
    <row r="14" ht="12.75">
      <c r="A14" s="175" t="s">
        <v>29</v>
      </c>
    </row>
    <row r="15" spans="1:5" ht="12.75">
      <c r="A15" s="1" t="str">
        <f>'Chart of Accounts'!$C$4</f>
        <v>Salaries</v>
      </c>
      <c r="B15" s="225">
        <f>'Staff Expenses'!N38</f>
        <v>7704.525</v>
      </c>
      <c r="C15" s="225">
        <f>'Staff Expenses'!O38</f>
        <v>5176.125</v>
      </c>
      <c r="D15" s="225">
        <f>'Staff Expenses'!P38</f>
        <v>4168.3125</v>
      </c>
      <c r="E15" s="225">
        <f aca="true" t="shared" si="1" ref="E15:E20">SUM(B15:D15)</f>
        <v>17048.9625</v>
      </c>
    </row>
    <row r="16" spans="1:5" ht="12.75">
      <c r="A16" s="1" t="str">
        <f>'Chart of Accounts'!$C$5</f>
        <v>Taxes</v>
      </c>
      <c r="B16" s="163">
        <f>'Staff Expenses'!N48</f>
        <v>978.2955000000001</v>
      </c>
      <c r="C16" s="163">
        <f>'Staff Expenses'!O48</f>
        <v>657.2475000000001</v>
      </c>
      <c r="D16" s="163">
        <f>'Staff Expenses'!P48</f>
        <v>529.2787500000001</v>
      </c>
      <c r="E16" s="163">
        <f t="shared" si="1"/>
        <v>2164.82175</v>
      </c>
    </row>
    <row r="17" spans="1:5" ht="12.75">
      <c r="A17" s="1" t="str">
        <f>'Chart of Accounts'!$C$6</f>
        <v>Benefits</v>
      </c>
      <c r="B17" s="163">
        <f>'Staff Expenses'!N58</f>
        <v>360</v>
      </c>
      <c r="C17" s="163">
        <f>'Staff Expenses'!O58</f>
        <v>270</v>
      </c>
      <c r="D17" s="163">
        <f>'Staff Expenses'!P58</f>
        <v>180</v>
      </c>
      <c r="E17" s="163">
        <f t="shared" si="1"/>
        <v>810</v>
      </c>
    </row>
    <row r="18" spans="1:5" ht="12.75">
      <c r="A18" s="1" t="str">
        <f>'Chart of Accounts'!$C$7</f>
        <v>Temps.</v>
      </c>
      <c r="B18" s="163">
        <f>DSUM(Administration,'Administration Projects'!$D$3,D68:E81)+DSUM(Administration,'Administration Projects'!$D$3,$B$68:$C$69)*12</f>
        <v>0</v>
      </c>
      <c r="C18" s="163">
        <f>DSUM(Administration,'Administration Projects'!$D$3,F68:G81)+DSUM(Administration,'Administration Projects'!$D$3,$B$71:$C$72)*12</f>
        <v>500</v>
      </c>
      <c r="D18" s="163">
        <f>DSUM(Administration,'Administration Projects'!$D$3,H68:I81)+DSUM(Administration,'Administration Projects'!$D$3,$B$74:$C$75)*12</f>
        <v>50</v>
      </c>
      <c r="E18" s="163">
        <f t="shared" si="1"/>
        <v>550</v>
      </c>
    </row>
    <row r="19" spans="1:5" ht="13.5" thickBot="1">
      <c r="A19" s="1" t="str">
        <f>'Chart of Accounts'!$C$8</f>
        <v>Hiring Costs</v>
      </c>
      <c r="B19" s="226">
        <f>DSUM(Administration,'Administration Projects'!E3,D68:E81)+DSUM(Administration,'Administration Projects'!E3,$B$68:$C$69)*12</f>
        <v>0</v>
      </c>
      <c r="C19" s="226">
        <f>DSUM(Administration,'Administration Projects'!E3,F68:G81)+DSUM(Administration,'Administration Projects'!E3,$B$71:$C$72)*12</f>
        <v>300</v>
      </c>
      <c r="D19" s="226">
        <f>DSUM(Administration,'Administration Projects'!E3,H68:I81)+DSUM(Administration,'Administration Projects'!E3,$B$74:$C$75)*12</f>
        <v>0</v>
      </c>
      <c r="E19" s="226">
        <f t="shared" si="1"/>
        <v>300</v>
      </c>
    </row>
    <row r="20" spans="1:5" ht="12.75">
      <c r="A20" s="176" t="str">
        <f>'Chart of Accounts'!C3</f>
        <v>Salaries, Taxes, and Benefits</v>
      </c>
      <c r="B20" s="163">
        <f>SUM(B15:B19)</f>
        <v>9042.8205</v>
      </c>
      <c r="C20" s="163">
        <f>SUM(C15:C19)</f>
        <v>6903.3725</v>
      </c>
      <c r="D20" s="163">
        <f>SUM(D15:D19)</f>
        <v>4927.59125</v>
      </c>
      <c r="E20" s="163">
        <f t="shared" si="1"/>
        <v>20873.78425</v>
      </c>
    </row>
    <row r="21" spans="2:5" ht="12.75">
      <c r="B21" s="163"/>
      <c r="C21" s="163"/>
      <c r="D21" s="163"/>
      <c r="E21" s="163"/>
    </row>
    <row r="22" spans="1:5" ht="12.75">
      <c r="A22" s="1" t="str">
        <f>'Chart of Accounts'!$C$11</f>
        <v>Account.</v>
      </c>
      <c r="B22" s="163">
        <f>DSUM(Administration,'Administration Projects'!F3,D68:E81)+DSUM(Administration,'Administration Projects'!F3,$B$68:$C$69)*12</f>
        <v>0</v>
      </c>
      <c r="C22" s="163">
        <f>DSUM(Administration,'Administration Projects'!F3,F68:G81)+DSUM(Administration,'Administration Projects'!F3,$B$71:$C$72)*12</f>
        <v>0</v>
      </c>
      <c r="D22" s="163">
        <f>DSUM(Administration,'Administration Projects'!F3,H68:I81)+DSUM(Administration,'Administration Projects'!F3,$B$74:$C$75)*12</f>
        <v>0</v>
      </c>
      <c r="E22" s="163">
        <f aca="true" t="shared" si="2" ref="E22:E27">SUM(B22:D22)</f>
        <v>0</v>
      </c>
    </row>
    <row r="23" spans="1:5" ht="12.75">
      <c r="A23" s="1" t="str">
        <f>'Chart of Accounts'!$C$12</f>
        <v>Legal</v>
      </c>
      <c r="B23" s="163">
        <f>DSUM(Administration,'Administration Projects'!G3,D68:E81)+DSUM(Administration,'Administration Projects'!G3,$B$68:$C$69)*12</f>
        <v>0</v>
      </c>
      <c r="C23" s="163">
        <f>DSUM(Administration,'Administration Projects'!G3,F68:G81)+DSUM(Administration,'Administration Projects'!G3,$B$71:$C$72)*12</f>
        <v>0</v>
      </c>
      <c r="D23" s="163">
        <f>DSUM(Administration,'Administration Projects'!G3,H68:I81)+DSUM(Administration,'Administration Projects'!G3,$B$74:$C$75)*12</f>
        <v>0</v>
      </c>
      <c r="E23" s="163">
        <f t="shared" si="2"/>
        <v>0</v>
      </c>
    </row>
    <row r="24" spans="1:5" ht="12.75">
      <c r="A24" s="1" t="str">
        <f>'Chart of Accounts'!$C$13</f>
        <v>Mgmt.</v>
      </c>
      <c r="B24" s="163">
        <f>DSUM(Administration,'Administration Projects'!H3,D68:E81)+DSUM(Administration,'Administration Projects'!H3,$B$68:$C$69)*12</f>
        <v>0</v>
      </c>
      <c r="C24" s="163">
        <f>DSUM(Administration,'Administration Projects'!H3,F68:G81)+DSUM(Administration,'Administration Projects'!H3,$B$71:$C$72)*12</f>
        <v>0</v>
      </c>
      <c r="D24" s="163">
        <f>DSUM(Administration,'Administration Projects'!H3,H68:I81)+DSUM(Administration,'Administration Projects'!H3,$B$74:$C$75)*12</f>
        <v>0</v>
      </c>
      <c r="E24" s="163">
        <f t="shared" si="2"/>
        <v>0</v>
      </c>
    </row>
    <row r="25" spans="1:5" ht="12.75">
      <c r="A25" s="1" t="str">
        <f>'Chart of Accounts'!$C$14</f>
        <v>Data Proc.</v>
      </c>
      <c r="B25" s="163"/>
      <c r="C25" s="163"/>
      <c r="D25" s="163"/>
      <c r="E25" s="163">
        <f t="shared" si="2"/>
        <v>0</v>
      </c>
    </row>
    <row r="26" spans="1:5" ht="12.75">
      <c r="A26" s="1" t="str">
        <f>'Chart of Accounts'!$C$15</f>
        <v>Acq. Services</v>
      </c>
      <c r="B26" s="163"/>
      <c r="C26" s="163"/>
      <c r="D26" s="163"/>
      <c r="E26" s="163">
        <f t="shared" si="2"/>
        <v>0</v>
      </c>
    </row>
    <row r="27" spans="1:5" ht="13.5" thickBot="1">
      <c r="A27" s="1" t="str">
        <f>'Chart of Accounts'!$C$16</f>
        <v>Other PS</v>
      </c>
      <c r="B27" s="226">
        <f>DSUM(Administration,'Administration Projects'!I3,D68:E81)+DSUM(Administration,'Administration Projects'!I3,$B$68:$C$69)*12</f>
        <v>0</v>
      </c>
      <c r="C27" s="226">
        <f>DSUM(Administration,'Administration Projects'!I3,F68:G81)+DSUM(Administration,'Administration Projects'!I3,$B$71:$C$72)*12</f>
        <v>1500</v>
      </c>
      <c r="D27" s="226">
        <f>DSUM(Administration,'Administration Projects'!I3,H68:I81)+DSUM(Administration,'Administration Projects'!I3,$B$74:$C$75)*12</f>
        <v>0</v>
      </c>
      <c r="E27" s="226">
        <f t="shared" si="2"/>
        <v>1500</v>
      </c>
    </row>
    <row r="28" spans="1:5" ht="12.75">
      <c r="A28" s="176" t="str">
        <f>'Chart of Accounts'!C10</f>
        <v>Professional Services</v>
      </c>
      <c r="B28" s="163">
        <f>SUM(B22:B27)</f>
        <v>0</v>
      </c>
      <c r="C28" s="163">
        <f>SUM(C22:C27)</f>
        <v>1500</v>
      </c>
      <c r="D28" s="163">
        <f>SUM(D22:D27)</f>
        <v>0</v>
      </c>
      <c r="E28" s="163">
        <f>SUM(E22:E27)</f>
        <v>1500</v>
      </c>
    </row>
    <row r="29" spans="2:5" ht="12.75">
      <c r="B29" s="163"/>
      <c r="C29" s="163"/>
      <c r="D29" s="163"/>
      <c r="E29" s="163"/>
    </row>
    <row r="30" spans="1:5" ht="12.75">
      <c r="A30" s="1" t="str">
        <f>'Chart of Accounts'!$C$19</f>
        <v>Long Distance</v>
      </c>
      <c r="B30" s="163">
        <f>'Shared &amp; Allocation'!N21*12</f>
        <v>49.62764850345084</v>
      </c>
      <c r="C30" s="163">
        <f>'Shared &amp; Allocation'!O21*12</f>
        <v>33.49574672146019</v>
      </c>
      <c r="D30" s="163">
        <f>'Shared &amp; Allocation'!P21*12</f>
        <v>26.76857116632</v>
      </c>
      <c r="E30" s="163">
        <f>SUM(B30:D30)</f>
        <v>109.89196639123104</v>
      </c>
    </row>
    <row r="31" spans="1:5" ht="13.5" thickBot="1">
      <c r="A31" s="1" t="str">
        <f>'Chart of Accounts'!$C$20</f>
        <v>Internet Access</v>
      </c>
      <c r="B31" s="226">
        <f>'Shared &amp; Allocation'!N22*12</f>
        <v>16.54254950115028</v>
      </c>
      <c r="C31" s="226">
        <f>'Shared &amp; Allocation'!O22*12</f>
        <v>11.165248907153398</v>
      </c>
      <c r="D31" s="226">
        <f>'Shared &amp; Allocation'!P22*12</f>
        <v>8.92285705544</v>
      </c>
      <c r="E31" s="226">
        <f>SUM(B31:D31)</f>
        <v>36.63065546374368</v>
      </c>
    </row>
    <row r="32" spans="1:5" ht="12.75">
      <c r="A32" s="176" t="str">
        <f>'Chart of Accounts'!C18</f>
        <v>Telephone</v>
      </c>
      <c r="B32" s="163">
        <f>SUM(B30:B31)</f>
        <v>66.17019800460112</v>
      </c>
      <c r="C32" s="163">
        <f>SUM(C30:C31)</f>
        <v>44.66099562861359</v>
      </c>
      <c r="D32" s="163">
        <f>SUM(D30:D31)</f>
        <v>35.69142822176</v>
      </c>
      <c r="E32" s="163">
        <f>SUM(E30:E31)</f>
        <v>146.52262185497472</v>
      </c>
    </row>
    <row r="33" spans="2:5" ht="12.75">
      <c r="B33" s="163"/>
      <c r="C33" s="163"/>
      <c r="D33" s="163"/>
      <c r="E33" s="163"/>
    </row>
    <row r="34" spans="1:5" ht="12.75">
      <c r="A34" s="1" t="str">
        <f>'Chart of Accounts'!$C$23</f>
        <v>Rent</v>
      </c>
      <c r="B34" s="163">
        <f>'Shared &amp; Allocation'!N23*12</f>
        <v>115.79784650805195</v>
      </c>
      <c r="C34" s="163">
        <f>'Shared &amp; Allocation'!O23*12</f>
        <v>78.15674235007378</v>
      </c>
      <c r="D34" s="163">
        <f>'Shared &amp; Allocation'!P23*12</f>
        <v>62.45999938808001</v>
      </c>
      <c r="E34" s="163">
        <f>SUM(B34:D34)</f>
        <v>256.41458824620577</v>
      </c>
    </row>
    <row r="35" spans="1:5" ht="12.75">
      <c r="A35" s="1" t="str">
        <f>'Chart of Accounts'!$C$24</f>
        <v>Repair/Maintenance</v>
      </c>
      <c r="B35" s="163">
        <f>'Shared &amp; Allocation'!N24*12</f>
        <v>24.81382425172542</v>
      </c>
      <c r="C35" s="163">
        <f>'Shared &amp; Allocation'!O24*12</f>
        <v>16.747873360730097</v>
      </c>
      <c r="D35" s="163">
        <f>'Shared &amp; Allocation'!P24*12</f>
        <v>13.38428558316</v>
      </c>
      <c r="E35" s="163">
        <f>SUM(B35:D35)</f>
        <v>54.94598319561552</v>
      </c>
    </row>
    <row r="36" spans="1:5" ht="12.75">
      <c r="A36" s="1" t="str">
        <f>'Chart of Accounts'!$C$25</f>
        <v>Utilities</v>
      </c>
      <c r="B36" s="163">
        <f>'Shared &amp; Allocation'!N25*12</f>
        <v>33.08509900230056</v>
      </c>
      <c r="C36" s="163">
        <f>'Shared &amp; Allocation'!O25*12</f>
        <v>22.330497814306796</v>
      </c>
      <c r="D36" s="163">
        <f>'Shared &amp; Allocation'!P25*12</f>
        <v>17.84571411088</v>
      </c>
      <c r="E36" s="163">
        <f>SUM(B36:D36)</f>
        <v>73.26131092748736</v>
      </c>
    </row>
    <row r="37" spans="1:5" ht="13.5" thickBot="1">
      <c r="A37" s="1" t="str">
        <f>'Chart of Accounts'!$C$26</f>
        <v>Room Rentals</v>
      </c>
      <c r="B37" s="226">
        <f>DSUM(Administration,'Administration Projects'!J3,D68:E81)+DSUM(Administration,'Administration Projects'!J3,$B$68:$C$69)*12</f>
        <v>0</v>
      </c>
      <c r="C37" s="226">
        <f>DSUM(Administration,'Administration Projects'!J3,F68:G81)+DSUM(Administration,'Administration Projects'!J3,$B$71:$C$72)*12</f>
        <v>0</v>
      </c>
      <c r="D37" s="226">
        <f>DSUM(Administration,'Administration Projects'!J3,H68:I81)+DSUM(Administration,'Administration Projects'!J3,$B$74:$C$75)*12</f>
        <v>250</v>
      </c>
      <c r="E37" s="226">
        <f>SUM(B37:D37)</f>
        <v>250</v>
      </c>
    </row>
    <row r="38" spans="1:5" ht="12.75">
      <c r="A38" s="176" t="str">
        <f>'Chart of Accounts'!C22</f>
        <v>Occupancy</v>
      </c>
      <c r="B38" s="163">
        <f>SUM(B34:B37)</f>
        <v>173.69676976207793</v>
      </c>
      <c r="C38" s="163">
        <f>SUM(C34:C37)</f>
        <v>117.23511352511068</v>
      </c>
      <c r="D38" s="163">
        <f>SUM(D34:D37)</f>
        <v>343.68999908212</v>
      </c>
      <c r="E38" s="163">
        <f>SUM(E34:E37)</f>
        <v>634.6218823693087</v>
      </c>
    </row>
    <row r="39" spans="2:5" ht="12.75">
      <c r="B39" s="163"/>
      <c r="C39" s="163"/>
      <c r="D39" s="163"/>
      <c r="E39" s="163"/>
    </row>
    <row r="40" spans="1:5" ht="12.75">
      <c r="A40" s="1" t="str">
        <f>'Chart of Accounts'!$D$4</f>
        <v>Equipment Purchase</v>
      </c>
      <c r="B40" s="163">
        <f>'Shared &amp; Allocation'!N26*12</f>
        <v>49.62764850345084</v>
      </c>
      <c r="C40" s="163">
        <f>'Shared &amp; Allocation'!O26*12</f>
        <v>33.49574672146019</v>
      </c>
      <c r="D40" s="163">
        <f>'Shared &amp; Allocation'!P26*12</f>
        <v>26.76857116632</v>
      </c>
      <c r="E40" s="163">
        <f>SUM(B40:D40)</f>
        <v>109.89196639123104</v>
      </c>
    </row>
    <row r="41" spans="1:5" ht="12.75">
      <c r="A41" s="1" t="str">
        <f>'Chart of Accounts'!$D$5</f>
        <v>Equipment Maintenance/Repair</v>
      </c>
      <c r="B41" s="163">
        <f>'Shared &amp; Allocation'!N27*12</f>
        <v>11.579784650805195</v>
      </c>
      <c r="C41" s="163">
        <f>'Shared &amp; Allocation'!O27*12</f>
        <v>7.8156742350073785</v>
      </c>
      <c r="D41" s="163">
        <f>'Shared &amp; Allocation'!P27*12</f>
        <v>6.245999938808</v>
      </c>
      <c r="E41" s="163">
        <f>SUM(B41:D41)</f>
        <v>25.64145882462057</v>
      </c>
    </row>
    <row r="42" spans="1:5" ht="13.5" thickBot="1">
      <c r="A42" s="1" t="str">
        <f>'Chart of Accounts'!$D$6</f>
        <v>Depreciation</v>
      </c>
      <c r="B42" s="226">
        <f>'Shared &amp; Allocation'!N28*12</f>
        <v>49.62764850345084</v>
      </c>
      <c r="C42" s="226">
        <f>'Shared &amp; Allocation'!O28*12</f>
        <v>33.49574672146019</v>
      </c>
      <c r="D42" s="226">
        <f>'Shared &amp; Allocation'!P28*12</f>
        <v>26.76857116632</v>
      </c>
      <c r="E42" s="226">
        <f>SUM(B42:D42)</f>
        <v>109.89196639123104</v>
      </c>
    </row>
    <row r="43" spans="1:5" ht="12.75">
      <c r="A43" s="176" t="str">
        <f>'Chart of Accounts'!D3</f>
        <v>Equipment</v>
      </c>
      <c r="B43" s="163">
        <f>SUM(B40:B42)</f>
        <v>110.83508165770688</v>
      </c>
      <c r="C43" s="163">
        <f>SUM(C40:C42)</f>
        <v>74.80716767792777</v>
      </c>
      <c r="D43" s="163">
        <f>SUM(D40:D42)</f>
        <v>59.783142271448</v>
      </c>
      <c r="E43" s="163">
        <f>SUM(E40:E42)</f>
        <v>245.42539160708264</v>
      </c>
    </row>
    <row r="44" spans="2:5" ht="12.75">
      <c r="B44" s="163"/>
      <c r="C44" s="163"/>
      <c r="D44" s="163"/>
      <c r="E44" s="163"/>
    </row>
    <row r="45" spans="1:5" ht="12.75">
      <c r="A45" s="1" t="str">
        <f>'Chart of Accounts'!$D$9</f>
        <v>Supplies </v>
      </c>
      <c r="B45" s="163">
        <f>DSUM(Administration,'Administration Projects'!K3,D68:E81)+DSUM(Administration,'Administration Projects'!K3,$B$68:$C$69)*12+'Shared &amp; Allocation'!N29*12</f>
        <v>24.81382425172542</v>
      </c>
      <c r="C45" s="163">
        <f>DSUM(Administration,'Administration Projects'!K3,F68:G81)+DSUM(Administration,'Administration Projects'!K3,$B$71:$C$72)*12+'Shared &amp; Allocation'!O29*12</f>
        <v>16.747873360730097</v>
      </c>
      <c r="D45" s="163">
        <f>DSUM(Administration,'Administration Projects'!K3,H68:I81)+DSUM(Administration,'Administration Projects'!K3,$B$74:$C$75)*12+'Shared &amp; Allocation'!P29*12</f>
        <v>313.38428558316</v>
      </c>
      <c r="E45" s="163">
        <f>SUM(B45:D45)</f>
        <v>354.94598319561555</v>
      </c>
    </row>
    <row r="46" spans="1:5" ht="12.75">
      <c r="A46" s="1" t="str">
        <f>'Chart of Accounts'!$D$10</f>
        <v>Insurance</v>
      </c>
      <c r="B46" s="163">
        <f>'Shared &amp; Allocation'!N30*12</f>
        <v>82.7127475057514</v>
      </c>
      <c r="C46" s="163">
        <f>'Shared &amp; Allocation'!O30*12</f>
        <v>55.82624453576699</v>
      </c>
      <c r="D46" s="163">
        <f>'Shared &amp; Allocation'!P30*12</f>
        <v>44.6142852772</v>
      </c>
      <c r="E46" s="163">
        <f>SUM(B46:D46)</f>
        <v>183.15327731871838</v>
      </c>
    </row>
    <row r="47" spans="1:5" ht="12.75">
      <c r="A47" s="1" t="str">
        <f>'Chart of Accounts'!$D$11</f>
        <v>Food</v>
      </c>
      <c r="B47" s="163">
        <f>DSUM(Administration,'Administration Projects'!L3,D68:E81)+DSUM(Administration,'Administration Projects'!L3,$B$68:$C$69)*12</f>
        <v>0</v>
      </c>
      <c r="C47" s="163">
        <f>DSUM(Administration,'Administration Projects'!L3,F68:G81)+DSUM(Administration,'Administration Projects'!L3,$B$71:$C$72)*12</f>
        <v>200</v>
      </c>
      <c r="D47" s="163">
        <f>DSUM(Administration,'Administration Projects'!L3,H68:I81)+DSUM(Administration,'Administration Projects'!L3,$B$74:$C$75)*12</f>
        <v>200</v>
      </c>
      <c r="E47" s="163">
        <f>SUM(B47:D47)</f>
        <v>400</v>
      </c>
    </row>
    <row r="48" spans="1:5" ht="12.75">
      <c r="A48" s="1" t="str">
        <f>'Chart of Accounts'!$D$12</f>
        <v>Misc. Exp.</v>
      </c>
      <c r="B48" s="163">
        <f>'Shared &amp; Allocation'!N31*12+DSUM(Administration,'Administration Projects'!$M$3,$B$68:$C$69)*12+DSUM(Administration,'Administration Projects'!M3,D68:E81)</f>
        <v>16.54254950115028</v>
      </c>
      <c r="C48" s="163">
        <f>'Shared &amp; Allocation'!O31*12+DSUM(Administration,'Administration Projects'!$M$3,B71:C72)*12+DSUM(Administration,'Administration Projects'!M3,F68:G81)</f>
        <v>11.165248907153398</v>
      </c>
      <c r="D48" s="163">
        <f>'Shared &amp; Allocation'!P31*12+DSUM(Administration,'Administration Projects'!$M$3,B74:C75)*12+DSUM(Administration,'Administration Projects'!M3,H68:I81)</f>
        <v>8.92285705544</v>
      </c>
      <c r="E48" s="163">
        <f>SUM(B48:D48)</f>
        <v>36.63065546374368</v>
      </c>
    </row>
    <row r="49" spans="1:5" ht="13.5" thickBot="1">
      <c r="A49" s="1" t="str">
        <f>'Chart of Accounts'!$D$13</f>
        <v>Fees</v>
      </c>
      <c r="B49" s="226">
        <f>DSUM(Administration,'Administration Projects'!N3,D68:E81)+DSUM(Administration,'Administration Projects'!N3,$B$68:$C$69)*12</f>
        <v>0</v>
      </c>
      <c r="C49" s="226">
        <f>DSUM(Administration,'Administration Projects'!N3,F68:G81)+DSUM(Administration,'Administration Projects'!N3,$B$71:$C$72)*12</f>
        <v>0</v>
      </c>
      <c r="D49" s="226">
        <f>DSUM(Administration,'Administration Projects'!N3,H68:I81)+DSUM(Administration,'Administration Projects'!N3,$B$74:$C$75)*12</f>
        <v>0</v>
      </c>
      <c r="E49" s="226">
        <f>SUM(B49:D49)</f>
        <v>0</v>
      </c>
    </row>
    <row r="50" spans="1:5" ht="12.75">
      <c r="A50" s="176" t="str">
        <f>'Chart of Accounts'!D8</f>
        <v>General  / Misc.</v>
      </c>
      <c r="B50" s="163">
        <f>SUM(B45:B49)</f>
        <v>124.06912125862709</v>
      </c>
      <c r="C50" s="163">
        <f>SUM(C45:C49)</f>
        <v>283.7393668036505</v>
      </c>
      <c r="D50" s="163">
        <f>SUM(D45:D49)</f>
        <v>566.9214279158</v>
      </c>
      <c r="E50" s="163">
        <f>SUM(E45:E49)</f>
        <v>974.7299159780777</v>
      </c>
    </row>
    <row r="51" spans="1:5" ht="12.75">
      <c r="A51" s="3"/>
      <c r="B51" s="163"/>
      <c r="C51" s="163"/>
      <c r="D51" s="163"/>
      <c r="E51" s="163"/>
    </row>
    <row r="52" spans="1:5" ht="12.75">
      <c r="A52" s="177" t="str">
        <f>'Chart of Accounts'!D16</f>
        <v>Postage</v>
      </c>
      <c r="B52" s="163">
        <f>DSUM(Administration,'Administration Projects'!O3,D68:E81)+DSUM(Administration,'Administration Projects'!O3,$B$68:$C$69)*12+'Shared &amp; Allocation'!N32*12</f>
        <v>41.3563737528757</v>
      </c>
      <c r="C52" s="163">
        <f>DSUM(Administration,'Administration Projects'!O3,F68:G81)+DSUM(Administration,'Administration Projects'!O3,$B$71:$C$72)*12+'Shared &amp; Allocation'!O32*12</f>
        <v>27.913122267883494</v>
      </c>
      <c r="D52" s="163">
        <f>DSUM(Administration,'Administration Projects'!O3,H68:I81)+DSUM(Administration,'Administration Projects'!O3,$B$74:$C$75)*12+'Shared &amp; Allocation'!P32*12</f>
        <v>97.3071426386</v>
      </c>
      <c r="E52" s="163">
        <f>SUM(B52:D52)</f>
        <v>166.5766386593592</v>
      </c>
    </row>
    <row r="53" spans="2:5" ht="12.75">
      <c r="B53" s="163"/>
      <c r="C53" s="163"/>
      <c r="D53" s="163"/>
      <c r="E53" s="163"/>
    </row>
    <row r="54" spans="1:5" ht="12.75">
      <c r="A54" s="176" t="str">
        <f>'Chart of Accounts'!D18</f>
        <v>Travel</v>
      </c>
      <c r="B54" s="163">
        <f>DSUM(Administration,'Administration Projects'!P3,D68:E81)+DSUM(Administration,'Administration Projects'!P3,$B$68:$C$69)*12</f>
        <v>0</v>
      </c>
      <c r="C54" s="163">
        <f>DSUM(Administration,'Administration Projects'!P3,F68:G81)+DSUM(Administration,'Administration Projects'!P3,$B$71:$C$72)*12</f>
        <v>0</v>
      </c>
      <c r="D54" s="163">
        <f>DSUM(Administration,'Administration Projects'!P3,H68:I81)+DSUM(Administration,'Administration Projects'!P3,$B$74:$C$75)*12</f>
        <v>0</v>
      </c>
      <c r="E54" s="163">
        <f>SUM(B54:D54)</f>
        <v>0</v>
      </c>
    </row>
    <row r="55" spans="1:5" ht="12.75">
      <c r="A55" s="3"/>
      <c r="B55" s="163"/>
      <c r="C55" s="163"/>
      <c r="D55" s="163"/>
      <c r="E55" s="163"/>
    </row>
    <row r="56" spans="1:5" ht="12.75">
      <c r="A56" s="1" t="str">
        <f>'Chart of Accounts'!$D$21</f>
        <v>Printing</v>
      </c>
      <c r="B56" s="163">
        <f>DSUM(Administration,'Administration Projects'!Q3,D68:E81)+DSUM(Administration,'Administration Projects'!Q3,$B$68:$C$69)*12+'Shared &amp; Allocation'!N33*12</f>
        <v>16.54254950115028</v>
      </c>
      <c r="C56" s="163">
        <f>DSUM(Administration,'Administration Projects'!Q3,F68:G81)+DSUM(Administration,'Administration Projects'!Q3,$B$71:$C$72)*12+'Shared &amp; Allocation'!O33*12</f>
        <v>11.165248907153398</v>
      </c>
      <c r="D56" s="163">
        <f>DSUM(Administration,'Administration Projects'!Q3,H68:I81)+DSUM(Administration,'Administration Projects'!Q3,$B$74:$C$75)*12+'Shared &amp; Allocation'!P33*12</f>
        <v>108.92285705544</v>
      </c>
      <c r="E56" s="163">
        <f>SUM(B56:D56)</f>
        <v>136.6306554637437</v>
      </c>
    </row>
    <row r="57" spans="1:5" ht="12.75">
      <c r="A57" s="1" t="str">
        <f>'Chart of Accounts'!$D$22</f>
        <v>Media </v>
      </c>
      <c r="B57" s="163"/>
      <c r="C57" s="163"/>
      <c r="D57" s="163"/>
      <c r="E57" s="163">
        <f>SUM(B57:D57)</f>
        <v>0</v>
      </c>
    </row>
    <row r="58" spans="1:5" ht="12.75">
      <c r="A58" s="1" t="str">
        <f>'Chart of Accounts'!$D$23</f>
        <v>Conf./Training</v>
      </c>
      <c r="B58" s="163">
        <f>DSUM(Administration,'Administration Projects'!R3,D68:E81)+DSUM(Administration,'Administration Projects'!R3,$B$68:$C$69)*12</f>
        <v>0</v>
      </c>
      <c r="C58" s="163">
        <f>DSUM(Administration,'Administration Projects'!R3,F68:G81)+DSUM(Administration,'Administration Projects'!R3,$B$71:$C$72)*12</f>
        <v>0</v>
      </c>
      <c r="D58" s="163">
        <f>DSUM(Administration,'Administration Projects'!R3,H68:I81)+DSUM(Administration,'Administration Projects'!R3,$B$74:$C$75)*12</f>
        <v>0</v>
      </c>
      <c r="E58" s="163">
        <f>SUM(B58:D58)</f>
        <v>0</v>
      </c>
    </row>
    <row r="59" spans="1:5" ht="13.5" thickBot="1">
      <c r="A59" s="1" t="str">
        <f>'Chart of Accounts'!$D$24</f>
        <v>Property Acq.</v>
      </c>
      <c r="B59" s="226"/>
      <c r="C59" s="226"/>
      <c r="D59" s="226"/>
      <c r="E59" s="226">
        <f>SUM(B59:D59)</f>
        <v>0</v>
      </c>
    </row>
    <row r="60" spans="1:5" ht="12.75">
      <c r="A60" s="176" t="str">
        <f>'Chart of Accounts'!D20</f>
        <v>Project Expenses</v>
      </c>
      <c r="B60" s="163">
        <f>SUM(B56:B59)</f>
        <v>16.54254950115028</v>
      </c>
      <c r="C60" s="163">
        <f>SUM(C56:C59)</f>
        <v>11.165248907153398</v>
      </c>
      <c r="D60" s="163">
        <f>SUM(D56:D59)</f>
        <v>108.92285705544</v>
      </c>
      <c r="E60" s="230">
        <f>SUM(E56:E59)</f>
        <v>136.6306554637437</v>
      </c>
    </row>
    <row r="61" spans="2:5" ht="12.75">
      <c r="B61" s="49"/>
      <c r="C61" s="49"/>
      <c r="D61" s="49"/>
      <c r="E61" s="49"/>
    </row>
    <row r="62" spans="1:5" ht="15">
      <c r="A62" s="7" t="s">
        <v>44</v>
      </c>
      <c r="B62" s="222">
        <f>B20+B28+B32+B38+B43+B50+B52+B54+B60</f>
        <v>9575.490593937038</v>
      </c>
      <c r="C62" s="222">
        <f>C20+C28+C32+C38+C43+C50+C52+C54+C60</f>
        <v>8962.893514810341</v>
      </c>
      <c r="D62" s="222">
        <f>D20+D28+D32+D38+D43+D50+D52+D54+D60</f>
        <v>6139.907247185168</v>
      </c>
      <c r="E62" s="222">
        <f>E20+E28+E32+E38+E43+E50+E52+E54+E60</f>
        <v>24678.29135593255</v>
      </c>
    </row>
    <row r="64" spans="1:5" ht="15">
      <c r="A64" s="7" t="s">
        <v>161</v>
      </c>
      <c r="B64" s="227">
        <f>B12-B62</f>
        <v>-6575.490593937038</v>
      </c>
      <c r="C64" s="227">
        <f>C12-C62</f>
        <v>-8962.893514810341</v>
      </c>
      <c r="D64" s="227">
        <f>D12-D62</f>
        <v>-6139.907247185168</v>
      </c>
      <c r="E64" s="227">
        <f>E12-E62</f>
        <v>-21678.29135593255</v>
      </c>
    </row>
    <row r="67" spans="3:7" ht="12.75">
      <c r="C67" s="197"/>
      <c r="E67" s="197"/>
      <c r="G67" s="197"/>
    </row>
    <row r="68" spans="2:10" ht="12.75">
      <c r="B68" s="251" t="s">
        <v>153</v>
      </c>
      <c r="C68" s="251" t="s">
        <v>176</v>
      </c>
      <c r="D68" s="251" t="s">
        <v>153</v>
      </c>
      <c r="E68" s="251" t="s">
        <v>176</v>
      </c>
      <c r="F68" s="251" t="s">
        <v>153</v>
      </c>
      <c r="G68" s="251" t="s">
        <v>176</v>
      </c>
      <c r="H68" s="251" t="s">
        <v>153</v>
      </c>
      <c r="I68" s="251" t="s">
        <v>176</v>
      </c>
      <c r="J68" s="269"/>
    </row>
    <row r="69" spans="2:10" ht="12.75">
      <c r="B69" s="274" t="str">
        <f>'Chart of Accounts'!$A$21</f>
        <v>Bd. Dev./ Mgt.</v>
      </c>
      <c r="C69" s="220" t="s">
        <v>187</v>
      </c>
      <c r="D69" s="274" t="str">
        <f>'Chart of Accounts'!$A$21</f>
        <v>Bd. Dev./ Mgt.</v>
      </c>
      <c r="E69" s="266">
        <f>'Chart of Accounts'!$E$3</f>
        <v>36892</v>
      </c>
      <c r="F69" s="274" t="str">
        <f>'Chart of Accounts'!$A$22</f>
        <v>Staff Dev.</v>
      </c>
      <c r="G69" s="266">
        <f>'Chart of Accounts'!$E$3</f>
        <v>36892</v>
      </c>
      <c r="H69" s="274" t="str">
        <f>'Chart of Accounts'!$A$23</f>
        <v>Gen. Admin.</v>
      </c>
      <c r="I69" s="266">
        <f>'Chart of Accounts'!$E$3</f>
        <v>36892</v>
      </c>
      <c r="J69" s="269"/>
    </row>
    <row r="70" spans="2:10" ht="12.75">
      <c r="B70" s="269"/>
      <c r="C70" s="269"/>
      <c r="D70" s="274" t="str">
        <f>'Chart of Accounts'!$A$21</f>
        <v>Bd. Dev./ Mgt.</v>
      </c>
      <c r="E70" s="266">
        <f>'Chart of Accounts'!$E$4</f>
        <v>36923</v>
      </c>
      <c r="F70" s="274" t="str">
        <f>'Chart of Accounts'!$A$22</f>
        <v>Staff Dev.</v>
      </c>
      <c r="G70" s="266">
        <f>'Chart of Accounts'!$E$4</f>
        <v>36923</v>
      </c>
      <c r="H70" s="274" t="str">
        <f>'Chart of Accounts'!$A$23</f>
        <v>Gen. Admin.</v>
      </c>
      <c r="I70" s="266">
        <f>'Chart of Accounts'!$E$4</f>
        <v>36923</v>
      </c>
      <c r="J70" s="269"/>
    </row>
    <row r="71" spans="2:10" ht="12.75">
      <c r="B71" s="251" t="s">
        <v>153</v>
      </c>
      <c r="C71" s="251" t="s">
        <v>176</v>
      </c>
      <c r="D71" s="274" t="str">
        <f>'Chart of Accounts'!$A$21</f>
        <v>Bd. Dev./ Mgt.</v>
      </c>
      <c r="E71" s="266">
        <f>'Chart of Accounts'!$E$5</f>
        <v>36951</v>
      </c>
      <c r="F71" s="274" t="str">
        <f>'Chart of Accounts'!$A$22</f>
        <v>Staff Dev.</v>
      </c>
      <c r="G71" s="266">
        <f>'Chart of Accounts'!$E$5</f>
        <v>36951</v>
      </c>
      <c r="H71" s="274" t="str">
        <f>'Chart of Accounts'!$A$23</f>
        <v>Gen. Admin.</v>
      </c>
      <c r="I71" s="266">
        <f>'Chart of Accounts'!$E$5</f>
        <v>36951</v>
      </c>
      <c r="J71" s="269"/>
    </row>
    <row r="72" spans="2:10" ht="12.75">
      <c r="B72" s="274" t="str">
        <f>'Chart of Accounts'!$A$22</f>
        <v>Staff Dev.</v>
      </c>
      <c r="C72" s="220" t="s">
        <v>187</v>
      </c>
      <c r="D72" s="274" t="str">
        <f>'Chart of Accounts'!$A$21</f>
        <v>Bd. Dev./ Mgt.</v>
      </c>
      <c r="E72" s="266">
        <f>'Chart of Accounts'!$E$6</f>
        <v>36982</v>
      </c>
      <c r="F72" s="274" t="str">
        <f>'Chart of Accounts'!$A$22</f>
        <v>Staff Dev.</v>
      </c>
      <c r="G72" s="266">
        <f>'Chart of Accounts'!$E$6</f>
        <v>36982</v>
      </c>
      <c r="H72" s="274" t="str">
        <f>'Chart of Accounts'!$A$23</f>
        <v>Gen. Admin.</v>
      </c>
      <c r="I72" s="266">
        <f>'Chart of Accounts'!$E$6</f>
        <v>36982</v>
      </c>
      <c r="J72" s="269"/>
    </row>
    <row r="73" spans="2:10" ht="12.75">
      <c r="B73" s="269"/>
      <c r="C73" s="269"/>
      <c r="D73" s="274" t="str">
        <f>'Chart of Accounts'!$A$21</f>
        <v>Bd. Dev./ Mgt.</v>
      </c>
      <c r="E73" s="266">
        <f>'Chart of Accounts'!$E$7</f>
        <v>37012</v>
      </c>
      <c r="F73" s="274" t="str">
        <f>'Chart of Accounts'!$A$22</f>
        <v>Staff Dev.</v>
      </c>
      <c r="G73" s="266">
        <f>'Chart of Accounts'!$E$7</f>
        <v>37012</v>
      </c>
      <c r="H73" s="274" t="str">
        <f>'Chart of Accounts'!$A$23</f>
        <v>Gen. Admin.</v>
      </c>
      <c r="I73" s="266">
        <f>'Chart of Accounts'!$E$7</f>
        <v>37012</v>
      </c>
      <c r="J73" s="269"/>
    </row>
    <row r="74" spans="2:10" ht="12.75">
      <c r="B74" s="251" t="s">
        <v>153</v>
      </c>
      <c r="C74" s="251" t="s">
        <v>176</v>
      </c>
      <c r="D74" s="274" t="str">
        <f>'Chart of Accounts'!$A$21</f>
        <v>Bd. Dev./ Mgt.</v>
      </c>
      <c r="E74" s="266">
        <f>'Chart of Accounts'!$E$8</f>
        <v>37043</v>
      </c>
      <c r="F74" s="274" t="str">
        <f>'Chart of Accounts'!$A$22</f>
        <v>Staff Dev.</v>
      </c>
      <c r="G74" s="266">
        <f>'Chart of Accounts'!$E$8</f>
        <v>37043</v>
      </c>
      <c r="H74" s="274" t="str">
        <f>'Chart of Accounts'!$A$23</f>
        <v>Gen. Admin.</v>
      </c>
      <c r="I74" s="266">
        <f>'Chart of Accounts'!$E$8</f>
        <v>37043</v>
      </c>
      <c r="J74" s="269"/>
    </row>
    <row r="75" spans="2:10" ht="12.75">
      <c r="B75" s="274" t="str">
        <f>'Chart of Accounts'!$A$23</f>
        <v>Gen. Admin.</v>
      </c>
      <c r="C75" s="220" t="s">
        <v>187</v>
      </c>
      <c r="D75" s="274" t="str">
        <f>'Chart of Accounts'!$A$21</f>
        <v>Bd. Dev./ Mgt.</v>
      </c>
      <c r="E75" s="266">
        <f>'Chart of Accounts'!$E$9</f>
        <v>37073</v>
      </c>
      <c r="F75" s="274" t="str">
        <f>'Chart of Accounts'!$A$22</f>
        <v>Staff Dev.</v>
      </c>
      <c r="G75" s="266">
        <f>'Chart of Accounts'!$E$9</f>
        <v>37073</v>
      </c>
      <c r="H75" s="274" t="str">
        <f>'Chart of Accounts'!$A$23</f>
        <v>Gen. Admin.</v>
      </c>
      <c r="I75" s="266">
        <f>'Chart of Accounts'!$E$9</f>
        <v>37073</v>
      </c>
      <c r="J75" s="269"/>
    </row>
    <row r="76" spans="2:10" ht="12.75">
      <c r="B76" s="269"/>
      <c r="C76" s="269"/>
      <c r="D76" s="274" t="str">
        <f>'Chart of Accounts'!$A$21</f>
        <v>Bd. Dev./ Mgt.</v>
      </c>
      <c r="E76" s="266">
        <f>'Chart of Accounts'!$E$10</f>
        <v>37104</v>
      </c>
      <c r="F76" s="274" t="str">
        <f>'Chart of Accounts'!$A$22</f>
        <v>Staff Dev.</v>
      </c>
      <c r="G76" s="266">
        <f>'Chart of Accounts'!$E$10</f>
        <v>37104</v>
      </c>
      <c r="H76" s="274" t="str">
        <f>'Chart of Accounts'!$A$23</f>
        <v>Gen. Admin.</v>
      </c>
      <c r="I76" s="266">
        <f>'Chart of Accounts'!$E$10</f>
        <v>37104</v>
      </c>
      <c r="J76" s="269"/>
    </row>
    <row r="77" spans="2:10" ht="12.75">
      <c r="B77" s="269"/>
      <c r="C77" s="269"/>
      <c r="D77" s="274" t="str">
        <f>'Chart of Accounts'!$A$21</f>
        <v>Bd. Dev./ Mgt.</v>
      </c>
      <c r="E77" s="266">
        <f>'Chart of Accounts'!$E$11</f>
        <v>37135</v>
      </c>
      <c r="F77" s="274" t="str">
        <f>'Chart of Accounts'!$A$22</f>
        <v>Staff Dev.</v>
      </c>
      <c r="G77" s="266">
        <f>'Chart of Accounts'!$E$11</f>
        <v>37135</v>
      </c>
      <c r="H77" s="274" t="str">
        <f>'Chart of Accounts'!$A$23</f>
        <v>Gen. Admin.</v>
      </c>
      <c r="I77" s="266">
        <f>'Chart of Accounts'!$E$11</f>
        <v>37135</v>
      </c>
      <c r="J77" s="269"/>
    </row>
    <row r="78" spans="2:10" ht="12.75">
      <c r="B78" s="269"/>
      <c r="C78" s="269"/>
      <c r="D78" s="274" t="str">
        <f>'Chart of Accounts'!$A$21</f>
        <v>Bd. Dev./ Mgt.</v>
      </c>
      <c r="E78" s="266">
        <f>'Chart of Accounts'!$E$12</f>
        <v>37165</v>
      </c>
      <c r="F78" s="274" t="str">
        <f>'Chart of Accounts'!$A$22</f>
        <v>Staff Dev.</v>
      </c>
      <c r="G78" s="266">
        <f>'Chart of Accounts'!$E$12</f>
        <v>37165</v>
      </c>
      <c r="H78" s="274" t="str">
        <f>'Chart of Accounts'!$A$23</f>
        <v>Gen. Admin.</v>
      </c>
      <c r="I78" s="266">
        <f>'Chart of Accounts'!$E$12</f>
        <v>37165</v>
      </c>
      <c r="J78" s="269"/>
    </row>
    <row r="79" spans="2:10" ht="12.75">
      <c r="B79" s="269"/>
      <c r="C79" s="269"/>
      <c r="D79" s="274" t="str">
        <f>'Chart of Accounts'!$A$21</f>
        <v>Bd. Dev./ Mgt.</v>
      </c>
      <c r="E79" s="266">
        <f>'Chart of Accounts'!$E$13</f>
        <v>37196</v>
      </c>
      <c r="F79" s="274" t="str">
        <f>'Chart of Accounts'!$A$22</f>
        <v>Staff Dev.</v>
      </c>
      <c r="G79" s="266">
        <f>'Chart of Accounts'!$E$13</f>
        <v>37196</v>
      </c>
      <c r="H79" s="274" t="str">
        <f>'Chart of Accounts'!$A$23</f>
        <v>Gen. Admin.</v>
      </c>
      <c r="I79" s="266">
        <f>'Chart of Accounts'!$E$13</f>
        <v>37196</v>
      </c>
      <c r="J79" s="269"/>
    </row>
    <row r="80" spans="2:10" ht="12.75">
      <c r="B80" s="269"/>
      <c r="C80" s="269"/>
      <c r="D80" s="274" t="str">
        <f>'Chart of Accounts'!$A$21</f>
        <v>Bd. Dev./ Mgt.</v>
      </c>
      <c r="E80" s="266">
        <f>'Chart of Accounts'!$E$14</f>
        <v>37226</v>
      </c>
      <c r="F80" s="274" t="str">
        <f>'Chart of Accounts'!$A$22</f>
        <v>Staff Dev.</v>
      </c>
      <c r="G80" s="266">
        <f>'Chart of Accounts'!$E$14</f>
        <v>37226</v>
      </c>
      <c r="H80" s="274" t="str">
        <f>'Chart of Accounts'!$A$23</f>
        <v>Gen. Admin.</v>
      </c>
      <c r="I80" s="266">
        <f>'Chart of Accounts'!$E$14</f>
        <v>37226</v>
      </c>
      <c r="J80" s="269"/>
    </row>
    <row r="81" spans="2:10" ht="12.75">
      <c r="B81" s="269"/>
      <c r="C81" s="269"/>
      <c r="D81" s="274" t="str">
        <f>'Chart of Accounts'!$A$21</f>
        <v>Bd. Dev./ Mgt.</v>
      </c>
      <c r="E81" s="266" t="s">
        <v>188</v>
      </c>
      <c r="F81" s="274" t="str">
        <f>'Chart of Accounts'!$A$22</f>
        <v>Staff Dev.</v>
      </c>
      <c r="G81" s="266" t="s">
        <v>188</v>
      </c>
      <c r="H81" s="274" t="str">
        <f>'Chart of Accounts'!$A$23</f>
        <v>Gen. Admin.</v>
      </c>
      <c r="I81" s="266" t="s">
        <v>188</v>
      </c>
      <c r="J81" s="269"/>
    </row>
    <row r="82" spans="2:10" ht="12.75">
      <c r="B82" s="269"/>
      <c r="C82" s="269"/>
      <c r="D82" s="269"/>
      <c r="E82" s="269"/>
      <c r="F82" s="269"/>
      <c r="G82" s="269"/>
      <c r="H82" s="269"/>
      <c r="I82" s="269"/>
      <c r="J82" s="2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5.140625" style="2" customWidth="1"/>
    <col min="3" max="3" width="11.00390625" style="2" customWidth="1"/>
    <col min="4" max="4" width="9.00390625" style="2" customWidth="1"/>
    <col min="5" max="5" width="11.28125" style="2" customWidth="1"/>
    <col min="6" max="6" width="10.8515625" style="2" customWidth="1"/>
    <col min="7" max="7" width="14.7109375" style="2" customWidth="1"/>
    <col min="8" max="8" width="12.7109375" style="2" customWidth="1"/>
    <col min="9" max="10" width="10.140625" style="2" customWidth="1"/>
    <col min="11" max="11" width="8.57421875" style="2" customWidth="1"/>
    <col min="12" max="12" width="11.28125" style="2" customWidth="1"/>
    <col min="13" max="13" width="10.421875" style="2" customWidth="1"/>
    <col min="14" max="14" width="12.7109375" style="2" customWidth="1"/>
    <col min="15" max="15" width="10.8515625" style="2" customWidth="1"/>
    <col min="16" max="16" width="16.57421875" style="2" customWidth="1"/>
    <col min="17" max="16384" width="12.7109375" style="2" customWidth="1"/>
  </cols>
  <sheetData>
    <row r="1" spans="1:3" ht="12.75">
      <c r="A1" s="15"/>
      <c r="B1" s="15"/>
      <c r="C1" s="4"/>
    </row>
    <row r="2" spans="6:7" ht="12.75">
      <c r="F2" s="4"/>
      <c r="G2" s="15"/>
    </row>
    <row r="3" spans="1:17" s="15" customFormat="1" ht="12.75">
      <c r="A3" s="15" t="str">
        <f>'Chart of Accounts'!A2</f>
        <v>Conservation</v>
      </c>
      <c r="B3" s="144" t="s">
        <v>153</v>
      </c>
      <c r="C3" s="144" t="s">
        <v>176</v>
      </c>
      <c r="D3" s="15" t="s">
        <v>4</v>
      </c>
      <c r="E3" s="15" t="str">
        <f>'Chart of Accounts'!C14</f>
        <v>Data Proc.</v>
      </c>
      <c r="F3" s="15" t="str">
        <f>'Chart of Accounts'!C16</f>
        <v>Other PS</v>
      </c>
      <c r="G3" s="15" t="str">
        <f>'Chart of Accounts'!C26</f>
        <v>Room Rentals</v>
      </c>
      <c r="H3" s="15" t="str">
        <f>'Chart of Accounts'!D9</f>
        <v>Supplies </v>
      </c>
      <c r="I3" s="15" t="str">
        <f>'Chart of Accounts'!D11</f>
        <v>Food</v>
      </c>
      <c r="J3" s="15" t="str">
        <f>'Chart of Accounts'!D12</f>
        <v>Misc. Exp.</v>
      </c>
      <c r="K3" s="15" t="str">
        <f>'Chart of Accounts'!D13</f>
        <v>Fees</v>
      </c>
      <c r="L3" s="15" t="str">
        <f>'Chart of Accounts'!D16</f>
        <v>Postage</v>
      </c>
      <c r="M3" s="15" t="str">
        <f>'Chart of Accounts'!D18</f>
        <v>Travel</v>
      </c>
      <c r="N3" s="15" t="str">
        <f>'Chart of Accounts'!D21</f>
        <v>Printing</v>
      </c>
      <c r="O3" s="15" t="str">
        <f>'Chart of Accounts'!D22</f>
        <v>Media </v>
      </c>
      <c r="P3" s="15" t="str">
        <f>'Chart of Accounts'!D23</f>
        <v>Conf./Training</v>
      </c>
      <c r="Q3" s="15" t="s">
        <v>46</v>
      </c>
    </row>
    <row r="4" spans="1:17" ht="12.75">
      <c r="A4" s="74"/>
      <c r="B4" s="203" t="s">
        <v>64</v>
      </c>
      <c r="C4" s="211">
        <v>36892</v>
      </c>
      <c r="D4" s="151">
        <v>1500</v>
      </c>
      <c r="E4" s="151"/>
      <c r="F4" s="151"/>
      <c r="G4" s="151"/>
      <c r="H4" s="151"/>
      <c r="I4" s="151">
        <v>200</v>
      </c>
      <c r="J4" s="151"/>
      <c r="K4" s="151"/>
      <c r="L4" s="151"/>
      <c r="M4" s="151"/>
      <c r="N4" s="151"/>
      <c r="O4" s="151"/>
      <c r="P4" s="151"/>
      <c r="Q4" s="231">
        <f aca="true" t="shared" si="0" ref="Q4:Q18">SUM(D4:P4)</f>
        <v>1700</v>
      </c>
    </row>
    <row r="5" spans="1:17" ht="12.75">
      <c r="A5" s="75" t="s">
        <v>231</v>
      </c>
      <c r="B5" s="201" t="s">
        <v>179</v>
      </c>
      <c r="C5" s="201" t="s">
        <v>178</v>
      </c>
      <c r="D5" s="152">
        <v>200</v>
      </c>
      <c r="E5" s="152"/>
      <c r="F5" s="152">
        <v>50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232">
        <f t="shared" si="0"/>
        <v>250</v>
      </c>
    </row>
    <row r="6" spans="1:17" ht="12.75">
      <c r="A6" s="75"/>
      <c r="B6" s="201" t="s">
        <v>180</v>
      </c>
      <c r="C6" s="201">
        <v>2002</v>
      </c>
      <c r="D6" s="152">
        <v>500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232">
        <f t="shared" si="0"/>
        <v>500</v>
      </c>
    </row>
    <row r="7" spans="1:17" ht="12.75">
      <c r="A7" s="75"/>
      <c r="B7" s="201"/>
      <c r="C7" s="20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232">
        <f t="shared" si="0"/>
        <v>0</v>
      </c>
    </row>
    <row r="8" spans="1:17" ht="12.75">
      <c r="A8" s="75"/>
      <c r="B8" s="201"/>
      <c r="C8" s="20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232">
        <f t="shared" si="0"/>
        <v>0</v>
      </c>
    </row>
    <row r="9" spans="1:17" ht="12.75">
      <c r="A9" s="75"/>
      <c r="B9" s="201"/>
      <c r="C9" s="20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232">
        <f t="shared" si="0"/>
        <v>0</v>
      </c>
    </row>
    <row r="10" spans="1:17" ht="12.75">
      <c r="A10" s="75"/>
      <c r="B10" s="201"/>
      <c r="C10" s="20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232">
        <f t="shared" si="0"/>
        <v>0</v>
      </c>
    </row>
    <row r="11" spans="1:17" ht="12.75">
      <c r="A11" s="75"/>
      <c r="B11" s="201"/>
      <c r="C11" s="20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232">
        <f t="shared" si="0"/>
        <v>0</v>
      </c>
    </row>
    <row r="12" spans="1:17" ht="12.75">
      <c r="A12" s="75"/>
      <c r="B12" s="201"/>
      <c r="C12" s="20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232">
        <f t="shared" si="0"/>
        <v>0</v>
      </c>
    </row>
    <row r="13" spans="1:17" ht="12.75">
      <c r="A13" s="75"/>
      <c r="B13" s="201"/>
      <c r="C13" s="20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232">
        <f t="shared" si="0"/>
        <v>0</v>
      </c>
    </row>
    <row r="14" spans="1:17" ht="12.75">
      <c r="A14" s="75"/>
      <c r="B14" s="201"/>
      <c r="C14" s="20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232">
        <f t="shared" si="0"/>
        <v>0</v>
      </c>
    </row>
    <row r="15" spans="1:17" ht="12.75">
      <c r="A15" s="75"/>
      <c r="B15" s="201"/>
      <c r="C15" s="201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232">
        <f t="shared" si="0"/>
        <v>0</v>
      </c>
    </row>
    <row r="16" spans="1:17" ht="12.75">
      <c r="A16" s="75"/>
      <c r="B16" s="201"/>
      <c r="C16" s="201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232">
        <f t="shared" si="0"/>
        <v>0</v>
      </c>
    </row>
    <row r="17" spans="1:17" ht="12.75">
      <c r="A17" s="75"/>
      <c r="B17" s="201"/>
      <c r="C17" s="20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232">
        <f t="shared" si="0"/>
        <v>0</v>
      </c>
    </row>
    <row r="18" spans="1:17" ht="12.75">
      <c r="A18" s="76"/>
      <c r="B18" s="202"/>
      <c r="C18" s="202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233">
        <f t="shared" si="0"/>
        <v>0</v>
      </c>
    </row>
    <row r="19" spans="1:18" s="4" customFormat="1" ht="12.75">
      <c r="A19" s="4" t="s">
        <v>46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67"/>
    </row>
    <row r="21" spans="1:17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2.75">
      <c r="A22" s="161"/>
      <c r="B22" s="161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</row>
    <row r="23" spans="1:17" ht="12.75">
      <c r="A23" s="161"/>
      <c r="B23" s="161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</row>
    <row r="24" spans="1:17" ht="12.75">
      <c r="A24" s="161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</row>
    <row r="25" spans="1:17" ht="12.75">
      <c r="A25" s="161"/>
      <c r="B25" s="161"/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</row>
    <row r="26" spans="1:17" ht="12.75">
      <c r="A26" s="161"/>
      <c r="B26" s="161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</row>
    <row r="27" spans="1:17" ht="12.75">
      <c r="A27" s="161"/>
      <c r="B27" s="161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3"/>
    </row>
    <row r="28" spans="1:17" ht="12.75">
      <c r="A28" s="6"/>
      <c r="B28" s="6"/>
      <c r="C28" s="6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161"/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</row>
    <row r="32" spans="1:17" ht="12.75">
      <c r="A32" s="161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</row>
    <row r="33" spans="1:17" ht="12.75">
      <c r="A33" s="161"/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</row>
    <row r="34" spans="1:17" ht="12.75">
      <c r="A34" s="161"/>
      <c r="B34" s="161"/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</row>
    <row r="35" spans="1:17" ht="12.75">
      <c r="A35" s="161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</row>
    <row r="36" spans="1:17" ht="12.75">
      <c r="A36" s="161"/>
      <c r="B36" s="161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</row>
    <row r="37" spans="1:17" ht="12.75">
      <c r="A37" s="6"/>
      <c r="B37" s="6"/>
      <c r="C37" s="6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57" r:id="rId1"/>
  <headerFooter alignWithMargins="0">
    <oddFooter>&amp;L&amp;"Comic Sans MS,Regular"Revised &amp;D at &amp;T
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4.421875" style="2" customWidth="1"/>
    <col min="3" max="3" width="11.00390625" style="2" customWidth="1"/>
    <col min="4" max="4" width="12.140625" style="2" customWidth="1"/>
    <col min="5" max="5" width="14.8515625" style="2" customWidth="1"/>
    <col min="6" max="6" width="11.28125" style="2" customWidth="1"/>
    <col min="7" max="8" width="10.57421875" style="2" customWidth="1"/>
    <col min="9" max="9" width="8.8515625" style="2" customWidth="1"/>
    <col min="10" max="10" width="11.140625" style="2" customWidth="1"/>
    <col min="11" max="11" width="10.8515625" style="2" customWidth="1"/>
    <col min="12" max="12" width="12.7109375" style="2" customWidth="1"/>
    <col min="13" max="13" width="10.421875" style="2" customWidth="1"/>
    <col min="14" max="14" width="15.421875" style="2" customWidth="1"/>
    <col min="15" max="16384" width="12.7109375" style="2" customWidth="1"/>
  </cols>
  <sheetData>
    <row r="1" spans="1:3" ht="12.75">
      <c r="A1" s="15"/>
      <c r="B1" s="15"/>
      <c r="C1" s="4"/>
    </row>
    <row r="2" spans="4:5" ht="12.75">
      <c r="D2" s="15"/>
      <c r="E2" s="15"/>
    </row>
    <row r="3" spans="1:15" s="15" customFormat="1" ht="12.75">
      <c r="A3" s="15" t="str">
        <f>'Chart of Accounts'!A3</f>
        <v>Outreach</v>
      </c>
      <c r="B3" s="144" t="s">
        <v>153</v>
      </c>
      <c r="C3" s="144" t="s">
        <v>176</v>
      </c>
      <c r="D3" s="15" t="str">
        <f>'Chart of Accounts'!C16</f>
        <v>Other PS</v>
      </c>
      <c r="E3" s="15" t="str">
        <f>'Chart of Accounts'!C26</f>
        <v>Room Rentals</v>
      </c>
      <c r="F3" s="15" t="str">
        <f>'Chart of Accounts'!D9</f>
        <v>Supplies </v>
      </c>
      <c r="G3" s="15" t="str">
        <f>'Chart of Accounts'!D11</f>
        <v>Food</v>
      </c>
      <c r="H3" s="15" t="str">
        <f>'Chart of Accounts'!D12</f>
        <v>Misc. Exp.</v>
      </c>
      <c r="I3" s="15" t="str">
        <f>'Chart of Accounts'!D13</f>
        <v>Fees</v>
      </c>
      <c r="J3" s="15" t="str">
        <f>'Chart of Accounts'!D16</f>
        <v>Postage</v>
      </c>
      <c r="K3" s="15" t="str">
        <f>'Chart of Accounts'!D18</f>
        <v>Travel</v>
      </c>
      <c r="L3" s="15" t="str">
        <f>'Chart of Accounts'!D21</f>
        <v>Printing</v>
      </c>
      <c r="M3" s="15" t="str">
        <f>'Chart of Accounts'!D22</f>
        <v>Media </v>
      </c>
      <c r="N3" s="15" t="str">
        <f>'Chart of Accounts'!D23</f>
        <v>Conf./Training</v>
      </c>
      <c r="O3" s="15" t="s">
        <v>46</v>
      </c>
    </row>
    <row r="4" spans="1:15" ht="12.75">
      <c r="A4" s="74"/>
      <c r="B4" s="74" t="s">
        <v>220</v>
      </c>
      <c r="C4" s="74" t="s">
        <v>178</v>
      </c>
      <c r="D4" s="151"/>
      <c r="E4" s="151"/>
      <c r="F4" s="151"/>
      <c r="G4" s="151">
        <v>50</v>
      </c>
      <c r="H4" s="151"/>
      <c r="I4" s="151"/>
      <c r="J4" s="151"/>
      <c r="K4" s="151"/>
      <c r="L4" s="151"/>
      <c r="M4" s="151"/>
      <c r="N4" s="151"/>
      <c r="O4" s="231">
        <f aca="true" t="shared" si="0" ref="O4:O18">SUM(D4:N4)</f>
        <v>50</v>
      </c>
    </row>
    <row r="5" spans="1:15" ht="12.75">
      <c r="A5" s="75"/>
      <c r="B5" s="75" t="s">
        <v>232</v>
      </c>
      <c r="C5" s="191">
        <v>37012</v>
      </c>
      <c r="D5" s="152"/>
      <c r="E5" s="152">
        <v>250</v>
      </c>
      <c r="F5" s="152"/>
      <c r="G5" s="152"/>
      <c r="H5" s="152"/>
      <c r="I5" s="152"/>
      <c r="J5" s="152"/>
      <c r="K5" s="152"/>
      <c r="L5" s="152"/>
      <c r="M5" s="152"/>
      <c r="N5" s="152"/>
      <c r="O5" s="232">
        <f t="shared" si="0"/>
        <v>250</v>
      </c>
    </row>
    <row r="6" spans="1:15" ht="12.75">
      <c r="A6" s="75"/>
      <c r="B6" s="75" t="s">
        <v>233</v>
      </c>
      <c r="C6" s="75">
        <v>2004</v>
      </c>
      <c r="D6" s="152"/>
      <c r="E6" s="152"/>
      <c r="F6" s="152"/>
      <c r="G6" s="152"/>
      <c r="H6" s="152"/>
      <c r="I6" s="152"/>
      <c r="J6" s="152"/>
      <c r="K6" s="152">
        <v>2500</v>
      </c>
      <c r="L6" s="152"/>
      <c r="M6" s="152"/>
      <c r="N6" s="152"/>
      <c r="O6" s="232">
        <f t="shared" si="0"/>
        <v>2500</v>
      </c>
    </row>
    <row r="7" spans="1:15" ht="12.75">
      <c r="A7" s="75"/>
      <c r="B7" s="75" t="s">
        <v>234</v>
      </c>
      <c r="C7" s="191">
        <v>37104</v>
      </c>
      <c r="D7" s="152"/>
      <c r="E7" s="152"/>
      <c r="F7" s="152"/>
      <c r="G7" s="152"/>
      <c r="H7" s="152"/>
      <c r="I7" s="152">
        <v>350</v>
      </c>
      <c r="J7" s="152"/>
      <c r="K7" s="152"/>
      <c r="L7" s="152"/>
      <c r="M7" s="152"/>
      <c r="N7" s="152"/>
      <c r="O7" s="232">
        <f t="shared" si="0"/>
        <v>350</v>
      </c>
    </row>
    <row r="8" spans="1:15" ht="12.75">
      <c r="A8" s="75"/>
      <c r="B8" s="75"/>
      <c r="C8" s="75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232">
        <f t="shared" si="0"/>
        <v>0</v>
      </c>
    </row>
    <row r="9" spans="1:15" ht="12.75">
      <c r="A9" s="75"/>
      <c r="B9" s="75"/>
      <c r="C9" s="75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232">
        <f t="shared" si="0"/>
        <v>0</v>
      </c>
    </row>
    <row r="10" spans="1:15" ht="12.75">
      <c r="A10" s="75"/>
      <c r="B10" s="75"/>
      <c r="C10" s="75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232">
        <f t="shared" si="0"/>
        <v>0</v>
      </c>
    </row>
    <row r="11" spans="1:15" ht="12.75">
      <c r="A11" s="75"/>
      <c r="B11" s="75"/>
      <c r="C11" s="75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232">
        <f t="shared" si="0"/>
        <v>0</v>
      </c>
    </row>
    <row r="12" spans="1:15" ht="12.75">
      <c r="A12" s="75"/>
      <c r="B12" s="75"/>
      <c r="C12" s="75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232">
        <f t="shared" si="0"/>
        <v>0</v>
      </c>
    </row>
    <row r="13" spans="1:15" ht="12.75">
      <c r="A13" s="75"/>
      <c r="B13" s="75"/>
      <c r="C13" s="75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232">
        <f t="shared" si="0"/>
        <v>0</v>
      </c>
    </row>
    <row r="14" spans="1:15" ht="12.75">
      <c r="A14" s="75"/>
      <c r="B14" s="75"/>
      <c r="C14" s="75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232">
        <f t="shared" si="0"/>
        <v>0</v>
      </c>
    </row>
    <row r="15" spans="1:15" ht="12.75">
      <c r="A15" s="75"/>
      <c r="B15" s="75"/>
      <c r="C15" s="75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232">
        <f t="shared" si="0"/>
        <v>0</v>
      </c>
    </row>
    <row r="16" spans="1:15" ht="12.75">
      <c r="A16" s="75"/>
      <c r="B16" s="75"/>
      <c r="C16" s="75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232">
        <f t="shared" si="0"/>
        <v>0</v>
      </c>
    </row>
    <row r="17" spans="1:15" ht="12.75">
      <c r="A17" s="75"/>
      <c r="B17" s="75"/>
      <c r="C17" s="75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32">
        <f t="shared" si="0"/>
        <v>0</v>
      </c>
    </row>
    <row r="18" spans="1:15" ht="12.75">
      <c r="A18" s="76"/>
      <c r="B18" s="76"/>
      <c r="C18" s="76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233">
        <f t="shared" si="0"/>
        <v>0</v>
      </c>
    </row>
    <row r="19" spans="1:16" s="4" customFormat="1" ht="12.75">
      <c r="A19" s="4" t="s">
        <v>46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67"/>
    </row>
    <row r="21" spans="1:15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12.75">
      <c r="A22" s="161"/>
      <c r="B22" s="161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</row>
    <row r="23" spans="1:15" ht="12.75">
      <c r="A23" s="161"/>
      <c r="B23" s="161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</row>
    <row r="24" spans="1:15" ht="12.75">
      <c r="A24" s="161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</row>
    <row r="25" spans="1:15" ht="12.75">
      <c r="A25" s="161"/>
      <c r="B25" s="161"/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</row>
    <row r="26" spans="1:15" ht="12.75">
      <c r="A26" s="161"/>
      <c r="B26" s="161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</row>
    <row r="27" spans="1:15" ht="12.75">
      <c r="A27" s="161"/>
      <c r="B27" s="161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</row>
    <row r="28" spans="1:15" ht="12.75">
      <c r="A28" s="6"/>
      <c r="B28" s="6"/>
      <c r="C28" s="6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12.75">
      <c r="A31" s="161"/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</row>
    <row r="32" spans="1:15" ht="12.75">
      <c r="A32" s="161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</row>
    <row r="33" spans="1:15" ht="12.75">
      <c r="A33" s="161"/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</row>
    <row r="34" spans="1:15" ht="12.75">
      <c r="A34" s="161"/>
      <c r="B34" s="161"/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</row>
    <row r="35" spans="1:15" ht="12.75">
      <c r="A35" s="161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</row>
    <row r="36" spans="1:15" ht="12.75">
      <c r="A36" s="161"/>
      <c r="B36" s="161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</row>
    <row r="37" spans="1:15" ht="12.75">
      <c r="A37" s="6"/>
      <c r="B37" s="6"/>
      <c r="C37" s="6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63" r:id="rId1"/>
  <headerFooter alignWithMargins="0">
    <oddFooter>&amp;L&amp;"Comic Sans MS,Regular"Revised &amp;D at &amp;T
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5.57421875" style="2" customWidth="1"/>
    <col min="3" max="3" width="9.57421875" style="2" customWidth="1"/>
    <col min="4" max="4" width="10.8515625" style="2" customWidth="1"/>
    <col min="5" max="5" width="13.7109375" style="2" customWidth="1"/>
    <col min="6" max="6" width="14.28125" style="2" customWidth="1"/>
    <col min="7" max="13" width="12.7109375" style="2" customWidth="1"/>
    <col min="14" max="14" width="15.140625" style="2" customWidth="1"/>
    <col min="15" max="16384" width="12.7109375" style="2" customWidth="1"/>
  </cols>
  <sheetData>
    <row r="1" spans="1:4" ht="12.75">
      <c r="A1" s="15"/>
      <c r="B1" s="15"/>
      <c r="C1" s="4"/>
      <c r="D1" s="4"/>
    </row>
    <row r="2" spans="4:6" ht="12.75">
      <c r="D2" s="15"/>
      <c r="E2" s="15"/>
      <c r="F2" s="15"/>
    </row>
    <row r="3" spans="1:15" s="15" customFormat="1" ht="12.75">
      <c r="A3" s="15" t="str">
        <f>'Chart of Accounts'!A4</f>
        <v>Development</v>
      </c>
      <c r="B3" s="144" t="s">
        <v>153</v>
      </c>
      <c r="C3" s="144" t="s">
        <v>176</v>
      </c>
      <c r="D3" s="15" t="str">
        <f>'Chart of Accounts'!C14</f>
        <v>Data Proc.</v>
      </c>
      <c r="E3" s="15" t="str">
        <f>'Chart of Accounts'!C16</f>
        <v>Other PS</v>
      </c>
      <c r="F3" s="15" t="str">
        <f>'Chart of Accounts'!C26</f>
        <v>Room Rentals</v>
      </c>
      <c r="G3" s="15" t="str">
        <f>'Chart of Accounts'!D9</f>
        <v>Supplies </v>
      </c>
      <c r="H3" s="15" t="str">
        <f>'Chart of Accounts'!D11</f>
        <v>Food</v>
      </c>
      <c r="I3" s="15" t="str">
        <f>'Chart of Accounts'!D12</f>
        <v>Misc. Exp.</v>
      </c>
      <c r="J3" s="15" t="str">
        <f>'Chart of Accounts'!D13</f>
        <v>Fees</v>
      </c>
      <c r="K3" s="15" t="str">
        <f>'Chart of Accounts'!D16</f>
        <v>Postage</v>
      </c>
      <c r="L3" s="15" t="str">
        <f>'Chart of Accounts'!D18</f>
        <v>Travel</v>
      </c>
      <c r="M3" s="15" t="str">
        <f>'Chart of Accounts'!D21</f>
        <v>Printing</v>
      </c>
      <c r="N3" s="15" t="str">
        <f>'Chart of Accounts'!D23</f>
        <v>Conf./Training</v>
      </c>
      <c r="O3" s="15" t="s">
        <v>46</v>
      </c>
    </row>
    <row r="4" spans="1:15" ht="12.75">
      <c r="A4" s="74" t="s">
        <v>193</v>
      </c>
      <c r="B4" s="74" t="s">
        <v>24</v>
      </c>
      <c r="C4" s="212">
        <v>2002</v>
      </c>
      <c r="D4" s="74"/>
      <c r="E4" s="151">
        <v>1500</v>
      </c>
      <c r="F4" s="151"/>
      <c r="G4" s="151"/>
      <c r="H4" s="151">
        <v>200</v>
      </c>
      <c r="I4" s="151"/>
      <c r="J4" s="151"/>
      <c r="K4" s="151"/>
      <c r="L4" s="151"/>
      <c r="M4" s="151"/>
      <c r="N4" s="192"/>
      <c r="O4" s="231">
        <f>SUM(D4:N4)</f>
        <v>1700</v>
      </c>
    </row>
    <row r="5" spans="1:15" ht="12.75">
      <c r="A5" s="75" t="s">
        <v>226</v>
      </c>
      <c r="B5" s="75" t="s">
        <v>227</v>
      </c>
      <c r="C5" s="191">
        <v>37226</v>
      </c>
      <c r="D5" s="75"/>
      <c r="E5" s="152">
        <v>2000</v>
      </c>
      <c r="F5" s="152">
        <v>500</v>
      </c>
      <c r="G5" s="152">
        <v>250</v>
      </c>
      <c r="H5" s="152">
        <v>700</v>
      </c>
      <c r="I5" s="152"/>
      <c r="J5" s="152"/>
      <c r="K5" s="152">
        <v>150</v>
      </c>
      <c r="L5" s="152"/>
      <c r="M5" s="152">
        <v>250</v>
      </c>
      <c r="N5" s="194"/>
      <c r="O5" s="232">
        <f aca="true" t="shared" si="0" ref="O5:O18">SUM(D5:N5)</f>
        <v>3850</v>
      </c>
    </row>
    <row r="6" spans="1:15" ht="12.75">
      <c r="A6" s="75" t="s">
        <v>228</v>
      </c>
      <c r="B6" s="75" t="s">
        <v>227</v>
      </c>
      <c r="C6" s="75" t="s">
        <v>178</v>
      </c>
      <c r="D6" s="75"/>
      <c r="E6" s="152"/>
      <c r="F6" s="152"/>
      <c r="G6" s="152"/>
      <c r="H6" s="152"/>
      <c r="I6" s="152"/>
      <c r="J6" s="152"/>
      <c r="K6" s="152">
        <v>200</v>
      </c>
      <c r="L6" s="152"/>
      <c r="M6" s="152">
        <v>200</v>
      </c>
      <c r="N6" s="194"/>
      <c r="O6" s="232">
        <f t="shared" si="0"/>
        <v>400</v>
      </c>
    </row>
    <row r="7" spans="1:15" ht="12.75">
      <c r="A7" s="75" t="s">
        <v>229</v>
      </c>
      <c r="B7" s="75" t="s">
        <v>230</v>
      </c>
      <c r="C7" s="75">
        <v>2003</v>
      </c>
      <c r="D7" s="75"/>
      <c r="E7" s="152"/>
      <c r="F7" s="152"/>
      <c r="G7" s="152"/>
      <c r="H7" s="152"/>
      <c r="I7" s="152"/>
      <c r="J7" s="152"/>
      <c r="K7" s="152"/>
      <c r="L7" s="152"/>
      <c r="M7" s="152"/>
      <c r="N7" s="194">
        <v>5000</v>
      </c>
      <c r="O7" s="232">
        <f t="shared" si="0"/>
        <v>5000</v>
      </c>
    </row>
    <row r="8" spans="1:15" ht="12.75">
      <c r="A8" s="75"/>
      <c r="B8" s="75"/>
      <c r="C8" s="75"/>
      <c r="D8" s="75"/>
      <c r="E8" s="152"/>
      <c r="F8" s="152"/>
      <c r="G8" s="152"/>
      <c r="H8" s="152"/>
      <c r="I8" s="152"/>
      <c r="J8" s="152"/>
      <c r="K8" s="152"/>
      <c r="L8" s="152"/>
      <c r="M8" s="152"/>
      <c r="N8" s="194"/>
      <c r="O8" s="232">
        <f t="shared" si="0"/>
        <v>0</v>
      </c>
    </row>
    <row r="9" spans="1:15" ht="12.75">
      <c r="A9" s="75"/>
      <c r="B9" s="75"/>
      <c r="C9" s="75"/>
      <c r="D9" s="75"/>
      <c r="E9" s="152"/>
      <c r="F9" s="152"/>
      <c r="G9" s="152"/>
      <c r="H9" s="152"/>
      <c r="I9" s="152"/>
      <c r="J9" s="152"/>
      <c r="K9" s="152"/>
      <c r="L9" s="152"/>
      <c r="M9" s="152"/>
      <c r="N9" s="194"/>
      <c r="O9" s="232">
        <f t="shared" si="0"/>
        <v>0</v>
      </c>
    </row>
    <row r="10" spans="1:15" ht="12.75">
      <c r="A10" s="75"/>
      <c r="B10" s="75"/>
      <c r="C10" s="75"/>
      <c r="D10" s="75"/>
      <c r="E10" s="152"/>
      <c r="F10" s="152"/>
      <c r="G10" s="152"/>
      <c r="H10" s="152"/>
      <c r="I10" s="152"/>
      <c r="J10" s="152"/>
      <c r="K10" s="152"/>
      <c r="L10" s="152"/>
      <c r="M10" s="152"/>
      <c r="N10" s="194"/>
      <c r="O10" s="232">
        <f t="shared" si="0"/>
        <v>0</v>
      </c>
    </row>
    <row r="11" spans="1:15" ht="12.75">
      <c r="A11" s="75"/>
      <c r="B11" s="75"/>
      <c r="C11" s="75"/>
      <c r="D11" s="75"/>
      <c r="E11" s="152"/>
      <c r="F11" s="152"/>
      <c r="G11" s="152"/>
      <c r="H11" s="152"/>
      <c r="I11" s="152"/>
      <c r="J11" s="152"/>
      <c r="K11" s="152"/>
      <c r="L11" s="152"/>
      <c r="M11" s="152"/>
      <c r="N11" s="194"/>
      <c r="O11" s="232">
        <f t="shared" si="0"/>
        <v>0</v>
      </c>
    </row>
    <row r="12" spans="1:15" ht="12.75">
      <c r="A12" s="75"/>
      <c r="B12" s="75"/>
      <c r="C12" s="75"/>
      <c r="D12" s="75"/>
      <c r="E12" s="152"/>
      <c r="F12" s="152"/>
      <c r="G12" s="152"/>
      <c r="H12" s="152"/>
      <c r="I12" s="152"/>
      <c r="J12" s="152"/>
      <c r="K12" s="152"/>
      <c r="L12" s="152"/>
      <c r="M12" s="152"/>
      <c r="N12" s="194"/>
      <c r="O12" s="232">
        <f t="shared" si="0"/>
        <v>0</v>
      </c>
    </row>
    <row r="13" spans="1:15" ht="12.75">
      <c r="A13" s="75"/>
      <c r="B13" s="75"/>
      <c r="C13" s="75"/>
      <c r="D13" s="75"/>
      <c r="E13" s="152"/>
      <c r="F13" s="152"/>
      <c r="G13" s="152"/>
      <c r="H13" s="152"/>
      <c r="I13" s="152"/>
      <c r="J13" s="152"/>
      <c r="K13" s="152"/>
      <c r="L13" s="152"/>
      <c r="M13" s="152"/>
      <c r="N13" s="194"/>
      <c r="O13" s="232">
        <f t="shared" si="0"/>
        <v>0</v>
      </c>
    </row>
    <row r="14" spans="1:15" ht="12.75">
      <c r="A14" s="75"/>
      <c r="B14" s="75"/>
      <c r="C14" s="75"/>
      <c r="D14" s="75"/>
      <c r="E14" s="152"/>
      <c r="F14" s="152"/>
      <c r="G14" s="152"/>
      <c r="H14" s="152"/>
      <c r="I14" s="152"/>
      <c r="J14" s="152"/>
      <c r="K14" s="152"/>
      <c r="L14" s="152"/>
      <c r="M14" s="152"/>
      <c r="N14" s="194"/>
      <c r="O14" s="232">
        <f t="shared" si="0"/>
        <v>0</v>
      </c>
    </row>
    <row r="15" spans="1:15" ht="12.75">
      <c r="A15" s="75"/>
      <c r="B15" s="75"/>
      <c r="C15" s="75"/>
      <c r="D15" s="75"/>
      <c r="E15" s="152"/>
      <c r="F15" s="152"/>
      <c r="G15" s="152"/>
      <c r="H15" s="152"/>
      <c r="I15" s="152"/>
      <c r="J15" s="152"/>
      <c r="K15" s="152"/>
      <c r="L15" s="152"/>
      <c r="M15" s="152"/>
      <c r="N15" s="194"/>
      <c r="O15" s="232">
        <f t="shared" si="0"/>
        <v>0</v>
      </c>
    </row>
    <row r="16" spans="1:15" ht="12.75">
      <c r="A16" s="75"/>
      <c r="B16" s="75"/>
      <c r="C16" s="75"/>
      <c r="D16" s="75"/>
      <c r="E16" s="152"/>
      <c r="F16" s="152"/>
      <c r="G16" s="152"/>
      <c r="H16" s="152"/>
      <c r="I16" s="152"/>
      <c r="J16" s="152"/>
      <c r="K16" s="152"/>
      <c r="L16" s="152"/>
      <c r="M16" s="152"/>
      <c r="N16" s="194"/>
      <c r="O16" s="232">
        <f t="shared" si="0"/>
        <v>0</v>
      </c>
    </row>
    <row r="17" spans="1:15" ht="12.75">
      <c r="A17" s="75"/>
      <c r="B17" s="75"/>
      <c r="C17" s="75"/>
      <c r="D17" s="75"/>
      <c r="E17" s="152"/>
      <c r="F17" s="152"/>
      <c r="G17" s="152"/>
      <c r="H17" s="152"/>
      <c r="I17" s="152"/>
      <c r="J17" s="152"/>
      <c r="K17" s="152"/>
      <c r="L17" s="152"/>
      <c r="M17" s="152"/>
      <c r="N17" s="194"/>
      <c r="O17" s="232">
        <f t="shared" si="0"/>
        <v>0</v>
      </c>
    </row>
    <row r="18" spans="1:15" ht="12.75">
      <c r="A18" s="76"/>
      <c r="B18" s="76"/>
      <c r="C18" s="76"/>
      <c r="D18" s="76"/>
      <c r="E18" s="153"/>
      <c r="F18" s="153"/>
      <c r="G18" s="153"/>
      <c r="H18" s="153"/>
      <c r="I18" s="153"/>
      <c r="J18" s="153"/>
      <c r="K18" s="153"/>
      <c r="L18" s="153"/>
      <c r="M18" s="153"/>
      <c r="N18" s="258"/>
      <c r="O18" s="233">
        <f t="shared" si="0"/>
        <v>0</v>
      </c>
    </row>
    <row r="19" spans="1:16" s="4" customFormat="1" ht="12.75">
      <c r="A19" s="4" t="s">
        <v>46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67"/>
    </row>
    <row r="21" spans="1:15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12.75">
      <c r="A22" s="161"/>
      <c r="B22" s="161"/>
      <c r="C22" s="161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</row>
    <row r="23" spans="1:15" ht="12.75">
      <c r="A23" s="161"/>
      <c r="B23" s="161"/>
      <c r="C23" s="161"/>
      <c r="D23" s="16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</row>
    <row r="24" spans="1:15" ht="12.75">
      <c r="A24" s="161"/>
      <c r="B24" s="161"/>
      <c r="C24" s="161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</row>
    <row r="25" spans="1:15" ht="12.75">
      <c r="A25" s="161"/>
      <c r="B25" s="161"/>
      <c r="C25" s="161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</row>
    <row r="26" spans="1:15" ht="12.75">
      <c r="A26" s="161"/>
      <c r="B26" s="161"/>
      <c r="C26" s="161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</row>
    <row r="27" spans="1:15" ht="12.75">
      <c r="A27" s="161"/>
      <c r="B27" s="161"/>
      <c r="C27" s="161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</row>
    <row r="28" spans="1:15" ht="12.75">
      <c r="A28" s="6"/>
      <c r="B28" s="6"/>
      <c r="C28" s="6"/>
      <c r="D28" s="6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12.75">
      <c r="A31" s="161"/>
      <c r="B31" s="161"/>
      <c r="C31" s="161"/>
      <c r="D31" s="16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</row>
    <row r="32" spans="1:15" ht="12.75">
      <c r="A32" s="161"/>
      <c r="B32" s="161"/>
      <c r="C32" s="161"/>
      <c r="D32" s="161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</row>
    <row r="33" spans="1:15" ht="12.75">
      <c r="A33" s="161"/>
      <c r="B33" s="161"/>
      <c r="C33" s="161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</row>
    <row r="34" spans="1:15" ht="12.75">
      <c r="A34" s="161"/>
      <c r="B34" s="161"/>
      <c r="C34" s="161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</row>
    <row r="35" spans="1:15" ht="12.75">
      <c r="A35" s="161"/>
      <c r="B35" s="161"/>
      <c r="C35" s="161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</row>
    <row r="36" spans="1:15" ht="12.75">
      <c r="A36" s="161"/>
      <c r="B36" s="161"/>
      <c r="C36" s="161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</row>
    <row r="37" spans="1:15" ht="12.75">
      <c r="A37" s="6"/>
      <c r="B37" s="6"/>
      <c r="C37" s="6"/>
      <c r="D37" s="6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59" r:id="rId1"/>
  <headerFooter alignWithMargins="0">
    <oddFooter>&amp;L&amp;"Comic Sans MS,Regular"Revised &amp;D at &amp;T
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T39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2" width="14.7109375" style="2" customWidth="1"/>
    <col min="3" max="4" width="10.7109375" style="2" customWidth="1"/>
    <col min="5" max="5" width="13.8515625" style="2" customWidth="1"/>
    <col min="6" max="8" width="10.7109375" style="2" customWidth="1"/>
    <col min="9" max="9" width="13.140625" style="2" customWidth="1"/>
    <col min="10" max="10" width="14.8515625" style="2" customWidth="1"/>
    <col min="11" max="17" width="12.7109375" style="2" customWidth="1"/>
    <col min="18" max="18" width="15.7109375" style="2" customWidth="1"/>
    <col min="19" max="16384" width="12.7109375" style="2" customWidth="1"/>
  </cols>
  <sheetData>
    <row r="1" spans="1:8" ht="12.75">
      <c r="A1" s="15"/>
      <c r="B1" s="15"/>
      <c r="C1" s="4"/>
      <c r="D1" s="4"/>
      <c r="E1" s="4"/>
      <c r="F1" s="4"/>
      <c r="G1" s="4"/>
      <c r="H1" s="4"/>
    </row>
    <row r="2" spans="4:10" ht="12.75">
      <c r="D2" s="15"/>
      <c r="E2" s="15"/>
      <c r="I2" s="15"/>
      <c r="J2" s="15"/>
    </row>
    <row r="3" spans="1:19" s="15" customFormat="1" ht="12.75">
      <c r="A3" s="15" t="str">
        <f>'Chart of Accounts'!A5</f>
        <v>Administration</v>
      </c>
      <c r="B3" s="144" t="s">
        <v>153</v>
      </c>
      <c r="C3" s="144" t="s">
        <v>176</v>
      </c>
      <c r="D3" s="15" t="str">
        <f>'Chart of Accounts'!C7</f>
        <v>Temps.</v>
      </c>
      <c r="E3" s="15" t="str">
        <f>'Chart of Accounts'!C8</f>
        <v>Hiring Costs</v>
      </c>
      <c r="F3" s="15" t="str">
        <f>'Chart of Accounts'!C11</f>
        <v>Account.</v>
      </c>
      <c r="G3" s="15" t="str">
        <f>'Chart of Accounts'!C12</f>
        <v>Legal</v>
      </c>
      <c r="H3" s="15" t="str">
        <f>'Chart of Accounts'!C13</f>
        <v>Mgmt.</v>
      </c>
      <c r="I3" s="15" t="str">
        <f>'Chart of Accounts'!C16</f>
        <v>Other PS</v>
      </c>
      <c r="J3" s="15" t="str">
        <f>'Chart of Accounts'!C26</f>
        <v>Room Rentals</v>
      </c>
      <c r="K3" s="15" t="str">
        <f>'Chart of Accounts'!D9</f>
        <v>Supplies </v>
      </c>
      <c r="L3" s="15" t="str">
        <f>'Chart of Accounts'!D11</f>
        <v>Food</v>
      </c>
      <c r="M3" s="15" t="str">
        <f>'Chart of Accounts'!D12</f>
        <v>Misc. Exp.</v>
      </c>
      <c r="N3" s="15" t="str">
        <f>'Chart of Accounts'!D13</f>
        <v>Fees</v>
      </c>
      <c r="O3" s="15" t="str">
        <f>'Chart of Accounts'!D16</f>
        <v>Postage</v>
      </c>
      <c r="P3" s="15" t="str">
        <f>'Chart of Accounts'!D18</f>
        <v>Travel</v>
      </c>
      <c r="Q3" s="15" t="str">
        <f>'Chart of Accounts'!D21</f>
        <v>Printing</v>
      </c>
      <c r="R3" s="15" t="str">
        <f>'Chart of Accounts'!D23</f>
        <v>Conf./Training</v>
      </c>
      <c r="S3" s="15" t="s">
        <v>46</v>
      </c>
    </row>
    <row r="4" spans="1:19" ht="12.75">
      <c r="A4" s="74" t="s">
        <v>177</v>
      </c>
      <c r="B4" s="74" t="s">
        <v>146</v>
      </c>
      <c r="C4" s="196">
        <v>36892</v>
      </c>
      <c r="D4" s="74">
        <v>500</v>
      </c>
      <c r="E4" s="74">
        <v>300</v>
      </c>
      <c r="F4" s="74"/>
      <c r="G4" s="74"/>
      <c r="H4" s="74"/>
      <c r="I4" s="151">
        <v>1500</v>
      </c>
      <c r="J4" s="151"/>
      <c r="K4" s="151"/>
      <c r="L4" s="151">
        <v>200</v>
      </c>
      <c r="M4" s="151"/>
      <c r="N4" s="151"/>
      <c r="O4" s="151"/>
      <c r="P4" s="151"/>
      <c r="Q4" s="151"/>
      <c r="R4" s="192"/>
      <c r="S4" s="231">
        <f>SUM(D4:R4)</f>
        <v>2500</v>
      </c>
    </row>
    <row r="5" spans="1:19" ht="12.75">
      <c r="A5" s="75" t="s">
        <v>223</v>
      </c>
      <c r="B5" s="75" t="s">
        <v>224</v>
      </c>
      <c r="C5" s="191">
        <v>37226</v>
      </c>
      <c r="D5" s="75">
        <v>50</v>
      </c>
      <c r="E5" s="75"/>
      <c r="F5" s="75"/>
      <c r="G5" s="75"/>
      <c r="H5" s="75"/>
      <c r="I5" s="152"/>
      <c r="J5" s="152">
        <v>250</v>
      </c>
      <c r="K5" s="152">
        <v>300</v>
      </c>
      <c r="L5" s="152">
        <v>200</v>
      </c>
      <c r="M5" s="152"/>
      <c r="N5" s="152"/>
      <c r="O5" s="152">
        <v>75</v>
      </c>
      <c r="P5" s="152"/>
      <c r="Q5" s="152">
        <v>100</v>
      </c>
      <c r="R5" s="194"/>
      <c r="S5" s="232">
        <f aca="true" t="shared" si="0" ref="S5:S18">SUM(D5:R5)</f>
        <v>975</v>
      </c>
    </row>
    <row r="6" spans="1:19" ht="12.75">
      <c r="A6" s="75" t="s">
        <v>225</v>
      </c>
      <c r="B6" s="75" t="s">
        <v>224</v>
      </c>
      <c r="C6" s="75">
        <v>2002</v>
      </c>
      <c r="D6" s="75"/>
      <c r="E6" s="75"/>
      <c r="F6" s="75">
        <v>5000</v>
      </c>
      <c r="G6" s="75"/>
      <c r="H6" s="75"/>
      <c r="I6" s="152"/>
      <c r="J6" s="152"/>
      <c r="K6" s="152"/>
      <c r="L6" s="152"/>
      <c r="M6" s="152"/>
      <c r="N6" s="152"/>
      <c r="O6" s="152"/>
      <c r="P6" s="152"/>
      <c r="Q6" s="152"/>
      <c r="R6" s="194"/>
      <c r="S6" s="232">
        <f t="shared" si="0"/>
        <v>5000</v>
      </c>
    </row>
    <row r="7" spans="1:19" ht="12.75">
      <c r="A7" s="75"/>
      <c r="B7" s="75"/>
      <c r="C7" s="75"/>
      <c r="D7" s="75"/>
      <c r="E7" s="75"/>
      <c r="F7" s="75"/>
      <c r="G7" s="75"/>
      <c r="H7" s="75"/>
      <c r="I7" s="152"/>
      <c r="J7" s="152"/>
      <c r="K7" s="152"/>
      <c r="L7" s="152"/>
      <c r="M7" s="152"/>
      <c r="N7" s="152"/>
      <c r="O7" s="152"/>
      <c r="P7" s="152"/>
      <c r="Q7" s="152"/>
      <c r="R7" s="194"/>
      <c r="S7" s="232">
        <f t="shared" si="0"/>
        <v>0</v>
      </c>
    </row>
    <row r="8" spans="1:19" ht="12.75">
      <c r="A8" s="75"/>
      <c r="B8" s="75"/>
      <c r="C8" s="75"/>
      <c r="D8" s="75"/>
      <c r="E8" s="75"/>
      <c r="F8" s="75"/>
      <c r="G8" s="75"/>
      <c r="H8" s="75"/>
      <c r="I8" s="152"/>
      <c r="J8" s="152"/>
      <c r="K8" s="152"/>
      <c r="L8" s="152"/>
      <c r="M8" s="152"/>
      <c r="N8" s="152"/>
      <c r="O8" s="152"/>
      <c r="P8" s="152"/>
      <c r="Q8" s="152"/>
      <c r="R8" s="194"/>
      <c r="S8" s="232">
        <f t="shared" si="0"/>
        <v>0</v>
      </c>
    </row>
    <row r="9" spans="1:19" ht="12.75">
      <c r="A9" s="75"/>
      <c r="B9" s="75"/>
      <c r="C9" s="75"/>
      <c r="D9" s="75"/>
      <c r="E9" s="75"/>
      <c r="F9" s="75"/>
      <c r="G9" s="75"/>
      <c r="H9" s="75"/>
      <c r="I9" s="152"/>
      <c r="J9" s="152"/>
      <c r="K9" s="152"/>
      <c r="L9" s="152"/>
      <c r="M9" s="152"/>
      <c r="N9" s="152"/>
      <c r="O9" s="152"/>
      <c r="P9" s="152"/>
      <c r="Q9" s="152"/>
      <c r="R9" s="194"/>
      <c r="S9" s="232">
        <f t="shared" si="0"/>
        <v>0</v>
      </c>
    </row>
    <row r="10" spans="1:19" ht="12.75">
      <c r="A10" s="75"/>
      <c r="B10" s="75"/>
      <c r="C10" s="75"/>
      <c r="D10" s="75"/>
      <c r="E10" s="75"/>
      <c r="F10" s="75"/>
      <c r="G10" s="75"/>
      <c r="H10" s="75"/>
      <c r="I10" s="152"/>
      <c r="J10" s="152"/>
      <c r="K10" s="152"/>
      <c r="L10" s="152"/>
      <c r="M10" s="152"/>
      <c r="N10" s="152"/>
      <c r="O10" s="152"/>
      <c r="P10" s="152"/>
      <c r="Q10" s="152"/>
      <c r="R10" s="194"/>
      <c r="S10" s="232">
        <f t="shared" si="0"/>
        <v>0</v>
      </c>
    </row>
    <row r="11" spans="1:19" ht="12.75">
      <c r="A11" s="75"/>
      <c r="B11" s="75"/>
      <c r="C11" s="75"/>
      <c r="D11" s="75"/>
      <c r="E11" s="75"/>
      <c r="F11" s="75"/>
      <c r="G11" s="75"/>
      <c r="H11" s="75"/>
      <c r="I11" s="152"/>
      <c r="J11" s="152"/>
      <c r="K11" s="152"/>
      <c r="L11" s="152"/>
      <c r="M11" s="152"/>
      <c r="N11" s="152"/>
      <c r="O11" s="152"/>
      <c r="P11" s="152"/>
      <c r="Q11" s="152"/>
      <c r="R11" s="194"/>
      <c r="S11" s="232">
        <f t="shared" si="0"/>
        <v>0</v>
      </c>
    </row>
    <row r="12" spans="1:19" ht="12.75">
      <c r="A12" s="75"/>
      <c r="B12" s="75"/>
      <c r="C12" s="75"/>
      <c r="D12" s="75"/>
      <c r="E12" s="75"/>
      <c r="F12" s="75"/>
      <c r="G12" s="75"/>
      <c r="H12" s="75"/>
      <c r="I12" s="152"/>
      <c r="J12" s="152"/>
      <c r="K12" s="152"/>
      <c r="L12" s="152"/>
      <c r="M12" s="152"/>
      <c r="N12" s="152"/>
      <c r="O12" s="152"/>
      <c r="P12" s="152"/>
      <c r="Q12" s="152"/>
      <c r="R12" s="194"/>
      <c r="S12" s="232">
        <f t="shared" si="0"/>
        <v>0</v>
      </c>
    </row>
    <row r="13" spans="1:19" ht="12.75">
      <c r="A13" s="75"/>
      <c r="B13" s="75"/>
      <c r="C13" s="75"/>
      <c r="D13" s="75"/>
      <c r="E13" s="75"/>
      <c r="F13" s="75"/>
      <c r="G13" s="75"/>
      <c r="H13" s="75"/>
      <c r="I13" s="152"/>
      <c r="J13" s="152"/>
      <c r="K13" s="152"/>
      <c r="L13" s="152"/>
      <c r="M13" s="152"/>
      <c r="N13" s="152"/>
      <c r="O13" s="152"/>
      <c r="P13" s="152"/>
      <c r="Q13" s="152"/>
      <c r="R13" s="194"/>
      <c r="S13" s="232">
        <f t="shared" si="0"/>
        <v>0</v>
      </c>
    </row>
    <row r="14" spans="1:19" ht="12.75">
      <c r="A14" s="75"/>
      <c r="B14" s="75"/>
      <c r="C14" s="75"/>
      <c r="D14" s="75"/>
      <c r="E14" s="75"/>
      <c r="F14" s="75"/>
      <c r="G14" s="75"/>
      <c r="H14" s="75"/>
      <c r="I14" s="152"/>
      <c r="J14" s="152"/>
      <c r="K14" s="152"/>
      <c r="L14" s="152"/>
      <c r="M14" s="152"/>
      <c r="N14" s="152"/>
      <c r="O14" s="152"/>
      <c r="P14" s="152"/>
      <c r="Q14" s="152"/>
      <c r="R14" s="194"/>
      <c r="S14" s="232">
        <f t="shared" si="0"/>
        <v>0</v>
      </c>
    </row>
    <row r="15" spans="1:19" ht="12.75">
      <c r="A15" s="75"/>
      <c r="B15" s="75"/>
      <c r="C15" s="75"/>
      <c r="D15" s="75"/>
      <c r="E15" s="75"/>
      <c r="F15" s="75"/>
      <c r="G15" s="75"/>
      <c r="H15" s="75"/>
      <c r="I15" s="152"/>
      <c r="J15" s="152"/>
      <c r="K15" s="152"/>
      <c r="L15" s="152"/>
      <c r="M15" s="152"/>
      <c r="N15" s="152"/>
      <c r="O15" s="152"/>
      <c r="P15" s="152"/>
      <c r="Q15" s="152"/>
      <c r="R15" s="194"/>
      <c r="S15" s="232">
        <f t="shared" si="0"/>
        <v>0</v>
      </c>
    </row>
    <row r="16" spans="1:19" ht="12.75">
      <c r="A16" s="75"/>
      <c r="B16" s="75"/>
      <c r="C16" s="75"/>
      <c r="D16" s="75"/>
      <c r="E16" s="75"/>
      <c r="F16" s="75"/>
      <c r="G16" s="75"/>
      <c r="H16" s="75"/>
      <c r="I16" s="152"/>
      <c r="J16" s="152"/>
      <c r="K16" s="152"/>
      <c r="L16" s="152"/>
      <c r="M16" s="152"/>
      <c r="N16" s="152"/>
      <c r="O16" s="152"/>
      <c r="P16" s="152"/>
      <c r="Q16" s="152"/>
      <c r="R16" s="194"/>
      <c r="S16" s="232">
        <f t="shared" si="0"/>
        <v>0</v>
      </c>
    </row>
    <row r="17" spans="1:19" ht="12.75">
      <c r="A17" s="75"/>
      <c r="B17" s="75"/>
      <c r="C17" s="75"/>
      <c r="D17" s="75"/>
      <c r="E17" s="75"/>
      <c r="F17" s="75"/>
      <c r="G17" s="75"/>
      <c r="H17" s="75"/>
      <c r="I17" s="152"/>
      <c r="J17" s="152"/>
      <c r="K17" s="152"/>
      <c r="L17" s="152"/>
      <c r="M17" s="152"/>
      <c r="N17" s="152"/>
      <c r="O17" s="152"/>
      <c r="P17" s="152"/>
      <c r="Q17" s="152"/>
      <c r="R17" s="194"/>
      <c r="S17" s="232">
        <f t="shared" si="0"/>
        <v>0</v>
      </c>
    </row>
    <row r="18" spans="1:19" ht="12.75">
      <c r="A18" s="76"/>
      <c r="B18" s="76"/>
      <c r="C18" s="76"/>
      <c r="D18" s="76"/>
      <c r="E18" s="76"/>
      <c r="F18" s="76"/>
      <c r="G18" s="76"/>
      <c r="H18" s="76"/>
      <c r="I18" s="153"/>
      <c r="J18" s="153"/>
      <c r="K18" s="153"/>
      <c r="L18" s="153"/>
      <c r="M18" s="153"/>
      <c r="N18" s="153"/>
      <c r="O18" s="153"/>
      <c r="P18" s="153"/>
      <c r="Q18" s="153"/>
      <c r="R18" s="258"/>
      <c r="S18" s="233">
        <f t="shared" si="0"/>
        <v>0</v>
      </c>
    </row>
    <row r="19" spans="1:20" s="4" customFormat="1" ht="12.75">
      <c r="A19" s="4" t="s">
        <v>46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67"/>
    </row>
    <row r="21" spans="1:19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.75">
      <c r="A22" s="161"/>
      <c r="B22" s="161"/>
      <c r="C22" s="161"/>
      <c r="D22" s="161"/>
      <c r="E22" s="161"/>
      <c r="F22" s="161"/>
      <c r="G22" s="161"/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3"/>
    </row>
    <row r="23" spans="1:19" ht="12.75">
      <c r="A23" s="161"/>
      <c r="B23" s="161"/>
      <c r="C23" s="161"/>
      <c r="D23" s="161"/>
      <c r="E23" s="161"/>
      <c r="F23" s="161"/>
      <c r="G23" s="161"/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3"/>
    </row>
    <row r="24" spans="1:19" ht="12.75">
      <c r="A24" s="161"/>
      <c r="B24" s="161"/>
      <c r="C24" s="161"/>
      <c r="D24" s="161"/>
      <c r="E24" s="161"/>
      <c r="F24" s="161"/>
      <c r="G24" s="161"/>
      <c r="H24" s="16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3"/>
    </row>
    <row r="25" spans="1:19" ht="12.75">
      <c r="A25" s="161"/>
      <c r="B25" s="161"/>
      <c r="C25" s="161"/>
      <c r="D25" s="161"/>
      <c r="E25" s="161"/>
      <c r="F25" s="161"/>
      <c r="G25" s="161"/>
      <c r="H25" s="161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</row>
    <row r="26" spans="1:19" ht="12.75">
      <c r="A26" s="161"/>
      <c r="B26" s="161"/>
      <c r="C26" s="161"/>
      <c r="D26" s="161"/>
      <c r="E26" s="161"/>
      <c r="F26" s="161"/>
      <c r="G26" s="161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3"/>
    </row>
    <row r="27" spans="1:19" ht="12.75">
      <c r="A27" s="161"/>
      <c r="B27" s="161"/>
      <c r="C27" s="161"/>
      <c r="D27" s="161"/>
      <c r="E27" s="161"/>
      <c r="F27" s="161"/>
      <c r="G27" s="161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</row>
    <row r="28" spans="1:19" ht="12.75">
      <c r="A28" s="6"/>
      <c r="B28" s="6"/>
      <c r="C28" s="6"/>
      <c r="D28" s="6"/>
      <c r="E28" s="6"/>
      <c r="F28" s="6"/>
      <c r="G28" s="6"/>
      <c r="H28" s="6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2.75">
      <c r="A31" s="161"/>
      <c r="B31" s="161"/>
      <c r="C31" s="161"/>
      <c r="D31" s="161"/>
      <c r="E31" s="161"/>
      <c r="F31" s="161"/>
      <c r="G31" s="161"/>
      <c r="H31" s="161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3"/>
    </row>
    <row r="32" spans="1:19" ht="12.75">
      <c r="A32" s="161"/>
      <c r="B32" s="161"/>
      <c r="C32" s="161"/>
      <c r="D32" s="161"/>
      <c r="E32" s="161"/>
      <c r="F32" s="161"/>
      <c r="G32" s="161"/>
      <c r="H32" s="161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3"/>
    </row>
    <row r="33" spans="1:19" ht="12.75">
      <c r="A33" s="161"/>
      <c r="B33" s="161"/>
      <c r="C33" s="161"/>
      <c r="D33" s="161"/>
      <c r="E33" s="161"/>
      <c r="F33" s="161"/>
      <c r="G33" s="161"/>
      <c r="H33" s="161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</row>
    <row r="34" spans="1:19" ht="12.75">
      <c r="A34" s="161"/>
      <c r="B34" s="161"/>
      <c r="C34" s="161"/>
      <c r="D34" s="161"/>
      <c r="E34" s="161"/>
      <c r="F34" s="161"/>
      <c r="G34" s="161"/>
      <c r="H34" s="161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</row>
    <row r="35" spans="1:19" ht="12.75">
      <c r="A35" s="161"/>
      <c r="B35" s="161"/>
      <c r="C35" s="161"/>
      <c r="D35" s="161"/>
      <c r="E35" s="161"/>
      <c r="F35" s="161"/>
      <c r="G35" s="161"/>
      <c r="H35" s="161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12.75">
      <c r="A36" s="161"/>
      <c r="B36" s="161"/>
      <c r="C36" s="161"/>
      <c r="D36" s="161"/>
      <c r="E36" s="161"/>
      <c r="F36" s="161"/>
      <c r="G36" s="161"/>
      <c r="H36" s="161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/>
    </row>
    <row r="37" spans="1:19" ht="12.75">
      <c r="A37" s="6"/>
      <c r="B37" s="6"/>
      <c r="C37" s="6"/>
      <c r="D37" s="6"/>
      <c r="E37" s="6"/>
      <c r="F37" s="6"/>
      <c r="G37" s="6"/>
      <c r="H37" s="6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48" r:id="rId1"/>
  <headerFooter alignWithMargins="0">
    <oddFooter>&amp;L&amp;"Comic Sans MS,Regular"Revised &amp;D at &amp;T
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5.140625" style="2" customWidth="1"/>
    <col min="3" max="3" width="11.00390625" style="2" customWidth="1"/>
    <col min="4" max="4" width="10.140625" style="2" customWidth="1"/>
    <col min="5" max="5" width="15.00390625" style="2" customWidth="1"/>
    <col min="6" max="6" width="12.00390625" style="2" customWidth="1"/>
    <col min="7" max="10" width="12.7109375" style="2" customWidth="1"/>
    <col min="11" max="11" width="15.421875" style="2" customWidth="1"/>
    <col min="12" max="16384" width="12.7109375" style="2" customWidth="1"/>
  </cols>
  <sheetData>
    <row r="1" spans="1:3" ht="12.75">
      <c r="A1" s="15"/>
      <c r="B1" s="15"/>
      <c r="C1" s="4"/>
    </row>
    <row r="2" spans="6:11" ht="12.75">
      <c r="F2" s="4"/>
      <c r="K2" s="15"/>
    </row>
    <row r="3" spans="1:12" s="15" customFormat="1" ht="12.75">
      <c r="A3" s="15" t="str">
        <f>'Chart of Accounts'!A6</f>
        <v>Capital</v>
      </c>
      <c r="B3" s="144" t="s">
        <v>153</v>
      </c>
      <c r="C3" s="144" t="s">
        <v>176</v>
      </c>
      <c r="D3" s="15" t="str">
        <f>'Chart of Accounts'!C12</f>
        <v>Legal</v>
      </c>
      <c r="E3" s="15" t="str">
        <f>'Chart of Accounts'!C15</f>
        <v>Acq. Services</v>
      </c>
      <c r="F3" s="15" t="str">
        <f>'Chart of Accounts'!C16</f>
        <v>Other PS</v>
      </c>
      <c r="G3" s="15" t="str">
        <f>'Chart of Accounts'!D9</f>
        <v>Supplies </v>
      </c>
      <c r="H3" s="15" t="str">
        <f>'Chart of Accounts'!D12</f>
        <v>Misc. Exp.</v>
      </c>
      <c r="I3" s="15" t="str">
        <f>'Chart of Accounts'!D13</f>
        <v>Fees</v>
      </c>
      <c r="J3" s="15" t="str">
        <f>'Chart of Accounts'!D18</f>
        <v>Travel</v>
      </c>
      <c r="K3" s="15" t="str">
        <f>'Chart of Accounts'!D24</f>
        <v>Property Acq.</v>
      </c>
      <c r="L3" s="15" t="s">
        <v>46</v>
      </c>
    </row>
    <row r="4" spans="1:12" ht="12.75">
      <c r="A4" s="74" t="s">
        <v>235</v>
      </c>
      <c r="B4" s="74" t="s">
        <v>181</v>
      </c>
      <c r="C4" s="196">
        <v>36892</v>
      </c>
      <c r="D4" s="151">
        <v>1500</v>
      </c>
      <c r="E4" s="151"/>
      <c r="F4" s="151"/>
      <c r="G4" s="151"/>
      <c r="H4" s="151"/>
      <c r="I4" s="151"/>
      <c r="J4" s="151"/>
      <c r="K4" s="151"/>
      <c r="L4" s="231">
        <f aca="true" t="shared" si="0" ref="L4:L18">SUM(D4:K4)</f>
        <v>1500</v>
      </c>
    </row>
    <row r="5" spans="1:12" ht="12.75">
      <c r="A5" s="75" t="s">
        <v>221</v>
      </c>
      <c r="B5" s="75" t="s">
        <v>182</v>
      </c>
      <c r="C5" s="191">
        <v>37043</v>
      </c>
      <c r="D5" s="152"/>
      <c r="E5" s="152"/>
      <c r="F5" s="152">
        <v>2000</v>
      </c>
      <c r="G5" s="152"/>
      <c r="H5" s="152"/>
      <c r="I5" s="152"/>
      <c r="J5" s="152"/>
      <c r="K5" s="152"/>
      <c r="L5" s="232">
        <f t="shared" si="0"/>
        <v>2000</v>
      </c>
    </row>
    <row r="6" spans="1:12" ht="12.75">
      <c r="A6" s="75" t="s">
        <v>235</v>
      </c>
      <c r="B6" s="75" t="s">
        <v>183</v>
      </c>
      <c r="C6" s="75">
        <v>2002</v>
      </c>
      <c r="D6" s="152">
        <v>1750</v>
      </c>
      <c r="E6" s="152"/>
      <c r="F6" s="152"/>
      <c r="G6" s="152"/>
      <c r="H6" s="152"/>
      <c r="I6" s="152"/>
      <c r="J6" s="152"/>
      <c r="K6" s="152"/>
      <c r="L6" s="232">
        <f t="shared" si="0"/>
        <v>1750</v>
      </c>
    </row>
    <row r="7" spans="1:12" ht="12.75">
      <c r="A7" s="75" t="s">
        <v>222</v>
      </c>
      <c r="B7" s="75" t="s">
        <v>182</v>
      </c>
      <c r="C7" s="75">
        <v>2003</v>
      </c>
      <c r="D7" s="152"/>
      <c r="E7" s="152"/>
      <c r="F7" s="152"/>
      <c r="G7" s="152"/>
      <c r="H7" s="152"/>
      <c r="I7" s="152"/>
      <c r="J7" s="152"/>
      <c r="K7" s="152">
        <v>50000</v>
      </c>
      <c r="L7" s="232">
        <f t="shared" si="0"/>
        <v>50000</v>
      </c>
    </row>
    <row r="8" spans="1:12" ht="12.75">
      <c r="A8" s="75"/>
      <c r="B8" s="75"/>
      <c r="C8" s="75"/>
      <c r="D8" s="152"/>
      <c r="E8" s="152"/>
      <c r="F8" s="152"/>
      <c r="G8" s="152"/>
      <c r="H8" s="152"/>
      <c r="I8" s="152"/>
      <c r="J8" s="152"/>
      <c r="K8" s="152"/>
      <c r="L8" s="232">
        <f t="shared" si="0"/>
        <v>0</v>
      </c>
    </row>
    <row r="9" spans="1:12" ht="12.75">
      <c r="A9" s="75"/>
      <c r="B9" s="75"/>
      <c r="C9" s="75"/>
      <c r="D9" s="152"/>
      <c r="E9" s="152"/>
      <c r="F9" s="152"/>
      <c r="G9" s="152"/>
      <c r="H9" s="152"/>
      <c r="I9" s="152"/>
      <c r="J9" s="152"/>
      <c r="K9" s="152"/>
      <c r="L9" s="232">
        <f t="shared" si="0"/>
        <v>0</v>
      </c>
    </row>
    <row r="10" spans="1:12" ht="12.75">
      <c r="A10" s="75"/>
      <c r="B10" s="75"/>
      <c r="C10" s="75"/>
      <c r="D10" s="152"/>
      <c r="E10" s="152"/>
      <c r="F10" s="152"/>
      <c r="G10" s="152"/>
      <c r="H10" s="152"/>
      <c r="I10" s="152"/>
      <c r="J10" s="152"/>
      <c r="K10" s="152"/>
      <c r="L10" s="232">
        <f t="shared" si="0"/>
        <v>0</v>
      </c>
    </row>
    <row r="11" spans="1:12" ht="12.75">
      <c r="A11" s="75"/>
      <c r="B11" s="75"/>
      <c r="C11" s="75"/>
      <c r="D11" s="152"/>
      <c r="E11" s="152"/>
      <c r="F11" s="152"/>
      <c r="G11" s="152"/>
      <c r="H11" s="152"/>
      <c r="I11" s="152"/>
      <c r="J11" s="152"/>
      <c r="K11" s="152"/>
      <c r="L11" s="232">
        <f t="shared" si="0"/>
        <v>0</v>
      </c>
    </row>
    <row r="12" spans="1:12" ht="12.75">
      <c r="A12" s="75"/>
      <c r="B12" s="75"/>
      <c r="C12" s="75"/>
      <c r="D12" s="152"/>
      <c r="E12" s="152"/>
      <c r="F12" s="152"/>
      <c r="G12" s="152"/>
      <c r="H12" s="152"/>
      <c r="I12" s="152"/>
      <c r="J12" s="152"/>
      <c r="K12" s="152"/>
      <c r="L12" s="232">
        <f t="shared" si="0"/>
        <v>0</v>
      </c>
    </row>
    <row r="13" spans="1:12" ht="12.75">
      <c r="A13" s="75"/>
      <c r="B13" s="75"/>
      <c r="C13" s="75"/>
      <c r="D13" s="152"/>
      <c r="E13" s="152"/>
      <c r="F13" s="152"/>
      <c r="G13" s="152"/>
      <c r="H13" s="152"/>
      <c r="I13" s="152"/>
      <c r="J13" s="152"/>
      <c r="K13" s="152"/>
      <c r="L13" s="232">
        <f t="shared" si="0"/>
        <v>0</v>
      </c>
    </row>
    <row r="14" spans="1:12" ht="12.75">
      <c r="A14" s="75"/>
      <c r="B14" s="75"/>
      <c r="C14" s="75"/>
      <c r="D14" s="152"/>
      <c r="E14" s="152"/>
      <c r="F14" s="152"/>
      <c r="G14" s="152"/>
      <c r="H14" s="152"/>
      <c r="I14" s="152"/>
      <c r="J14" s="152"/>
      <c r="K14" s="152"/>
      <c r="L14" s="232">
        <f t="shared" si="0"/>
        <v>0</v>
      </c>
    </row>
    <row r="15" spans="1:12" ht="12.75">
      <c r="A15" s="75"/>
      <c r="B15" s="75"/>
      <c r="C15" s="75"/>
      <c r="D15" s="152"/>
      <c r="E15" s="152"/>
      <c r="F15" s="152"/>
      <c r="G15" s="152"/>
      <c r="H15" s="152"/>
      <c r="I15" s="152"/>
      <c r="J15" s="152"/>
      <c r="K15" s="152"/>
      <c r="L15" s="257">
        <f t="shared" si="0"/>
        <v>0</v>
      </c>
    </row>
    <row r="16" spans="1:12" ht="12.75">
      <c r="A16" s="75"/>
      <c r="B16" s="75"/>
      <c r="C16" s="75"/>
      <c r="D16" s="152"/>
      <c r="E16" s="152"/>
      <c r="F16" s="152"/>
      <c r="G16" s="152"/>
      <c r="H16" s="152"/>
      <c r="I16" s="152"/>
      <c r="J16" s="152"/>
      <c r="K16" s="152"/>
      <c r="L16" s="232">
        <f t="shared" si="0"/>
        <v>0</v>
      </c>
    </row>
    <row r="17" spans="1:12" ht="12.75">
      <c r="A17" s="75"/>
      <c r="B17" s="75"/>
      <c r="C17" s="75"/>
      <c r="D17" s="152"/>
      <c r="E17" s="152"/>
      <c r="F17" s="152"/>
      <c r="G17" s="152"/>
      <c r="H17" s="152"/>
      <c r="I17" s="152"/>
      <c r="J17" s="152"/>
      <c r="K17" s="152"/>
      <c r="L17" s="232">
        <f t="shared" si="0"/>
        <v>0</v>
      </c>
    </row>
    <row r="18" spans="1:12" ht="12.75">
      <c r="A18" s="76"/>
      <c r="B18" s="76"/>
      <c r="C18" s="76"/>
      <c r="D18" s="153"/>
      <c r="E18" s="153"/>
      <c r="F18" s="153"/>
      <c r="G18" s="153"/>
      <c r="H18" s="153"/>
      <c r="I18" s="153"/>
      <c r="J18" s="153"/>
      <c r="K18" s="153"/>
      <c r="L18" s="233">
        <f t="shared" si="0"/>
        <v>0</v>
      </c>
    </row>
    <row r="19" spans="1:13" s="4" customFormat="1" ht="12.75">
      <c r="A19" s="4" t="s">
        <v>46</v>
      </c>
      <c r="D19" s="150"/>
      <c r="E19" s="150"/>
      <c r="F19" s="150"/>
      <c r="G19" s="150"/>
      <c r="H19" s="150"/>
      <c r="I19" s="150"/>
      <c r="J19" s="150"/>
      <c r="K19" s="150"/>
      <c r="L19" s="150"/>
      <c r="M19" s="67"/>
    </row>
    <row r="21" spans="1:12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2.75">
      <c r="A22" s="161"/>
      <c r="B22" s="161"/>
      <c r="C22" s="161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ht="12.75">
      <c r="A23" s="161"/>
      <c r="B23" s="161"/>
      <c r="C23" s="161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2" ht="12.75">
      <c r="A24" s="161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2" ht="12.75">
      <c r="A25" s="161"/>
      <c r="B25" s="161"/>
      <c r="C25" s="161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2" ht="12.75">
      <c r="A26" s="161"/>
      <c r="B26" s="161"/>
      <c r="C26" s="161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2" ht="12.75">
      <c r="A27" s="161"/>
      <c r="B27" s="161"/>
      <c r="C27" s="161"/>
      <c r="D27" s="162"/>
      <c r="E27" s="162"/>
      <c r="F27" s="162"/>
      <c r="G27" s="162"/>
      <c r="H27" s="162"/>
      <c r="I27" s="162"/>
      <c r="J27" s="162"/>
      <c r="K27" s="162"/>
      <c r="L27" s="163"/>
    </row>
    <row r="28" spans="1:12" ht="12.75">
      <c r="A28" s="6"/>
      <c r="B28" s="6"/>
      <c r="C28" s="6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2.75">
      <c r="A31" s="161"/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ht="12.75">
      <c r="A32" s="161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3"/>
    </row>
    <row r="33" spans="1:12" ht="12.75">
      <c r="A33" s="161"/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3"/>
    </row>
    <row r="34" spans="1:12" ht="12.75">
      <c r="A34" s="161"/>
      <c r="B34" s="161"/>
      <c r="C34" s="161"/>
      <c r="D34" s="162"/>
      <c r="E34" s="162"/>
      <c r="F34" s="162"/>
      <c r="G34" s="162"/>
      <c r="H34" s="162"/>
      <c r="I34" s="162"/>
      <c r="J34" s="162"/>
      <c r="K34" s="162"/>
      <c r="L34" s="163"/>
    </row>
    <row r="35" spans="1:12" ht="12.75">
      <c r="A35" s="161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1:12" ht="12.75">
      <c r="A36" s="161"/>
      <c r="B36" s="161"/>
      <c r="C36" s="161"/>
      <c r="D36" s="162"/>
      <c r="E36" s="162"/>
      <c r="F36" s="162"/>
      <c r="G36" s="162"/>
      <c r="H36" s="162"/>
      <c r="I36" s="162"/>
      <c r="J36" s="162"/>
      <c r="K36" s="162"/>
      <c r="L36" s="163"/>
    </row>
    <row r="37" spans="1:12" ht="12.75">
      <c r="A37" s="6"/>
      <c r="B37" s="6"/>
      <c r="C37" s="6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73" r:id="rId1"/>
  <headerFooter alignWithMargins="0">
    <oddFooter>&amp;L&amp;"Comic Sans MS,Regular"Revised &amp;D at &amp;T
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2" customWidth="1"/>
    <col min="2" max="6" width="15.7109375" style="2" customWidth="1"/>
    <col min="7" max="7" width="13.140625" style="2" customWidth="1"/>
    <col min="8" max="16384" width="9.140625" style="2" customWidth="1"/>
  </cols>
  <sheetData>
    <row r="1" ht="12.75">
      <c r="A1" s="15" t="s">
        <v>71</v>
      </c>
    </row>
    <row r="2" spans="2:6" s="15" customFormat="1" ht="12.75">
      <c r="B2" s="15">
        <f>'Chart of Accounts'!$E$15</f>
        <v>2001</v>
      </c>
      <c r="C2" s="15">
        <f>'Chart of Accounts'!$E$16</f>
        <v>2002</v>
      </c>
      <c r="D2" s="15">
        <f>'Chart of Accounts'!$E$17</f>
        <v>2003</v>
      </c>
      <c r="E2" s="15">
        <f>'Chart of Accounts'!$E$18</f>
        <v>2004</v>
      </c>
      <c r="F2" s="15">
        <f>'Chart of Accounts'!$E$19</f>
        <v>2005</v>
      </c>
    </row>
    <row r="3" ht="12.75">
      <c r="A3" s="4" t="s">
        <v>75</v>
      </c>
    </row>
    <row r="4" spans="1:6" ht="12.75">
      <c r="A4" s="2" t="s">
        <v>76</v>
      </c>
      <c r="B4" s="23">
        <v>2000</v>
      </c>
      <c r="C4" s="57">
        <f>B45</f>
        <v>2100</v>
      </c>
      <c r="D4" s="57">
        <f>C45</f>
        <v>2175</v>
      </c>
      <c r="E4" s="57">
        <f>D45</f>
        <v>2231.25</v>
      </c>
      <c r="F4" s="57">
        <f>E45</f>
        <v>2273.4375</v>
      </c>
    </row>
    <row r="5" spans="1:6" ht="12.75">
      <c r="A5" s="2" t="s">
        <v>77</v>
      </c>
      <c r="B5" s="58">
        <v>0.2</v>
      </c>
      <c r="C5" s="58">
        <v>0.2</v>
      </c>
      <c r="D5" s="58">
        <v>0.2</v>
      </c>
      <c r="E5" s="58">
        <v>0.2</v>
      </c>
      <c r="F5" s="58">
        <v>0.2</v>
      </c>
    </row>
    <row r="6" spans="1:6" ht="12.75">
      <c r="A6" s="2" t="s">
        <v>78</v>
      </c>
      <c r="B6" s="58">
        <v>0.13</v>
      </c>
      <c r="C6" s="58">
        <v>0.13</v>
      </c>
      <c r="D6" s="58">
        <v>0.13</v>
      </c>
      <c r="E6" s="58">
        <v>0.13</v>
      </c>
      <c r="F6" s="58">
        <v>0.13</v>
      </c>
    </row>
    <row r="7" spans="1:6" ht="12.75">
      <c r="A7" s="2" t="s">
        <v>79</v>
      </c>
      <c r="B7" s="58">
        <v>200</v>
      </c>
      <c r="C7" s="58">
        <v>200</v>
      </c>
      <c r="D7" s="58">
        <v>200</v>
      </c>
      <c r="E7" s="58">
        <v>200</v>
      </c>
      <c r="F7" s="58">
        <v>200</v>
      </c>
    </row>
    <row r="8" spans="1:6" ht="13.5" thickBot="1">
      <c r="A8" s="2" t="s">
        <v>80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</row>
    <row r="9" spans="1:6" ht="12.75">
      <c r="A9" s="4" t="s">
        <v>81</v>
      </c>
      <c r="B9" s="60">
        <f>(B4*B5)+(B4*B6)+B7+B8</f>
        <v>860</v>
      </c>
      <c r="C9" s="60">
        <f>(C4*C5)+(C4*C6)+C7+C8</f>
        <v>893</v>
      </c>
      <c r="D9" s="60">
        <f>(D4*D5)+(D4*D6)+D7+D8</f>
        <v>917.75</v>
      </c>
      <c r="E9" s="60">
        <f>(E4*E5)+(E4*E6)+E7+E8</f>
        <v>936.3125</v>
      </c>
      <c r="F9" s="60">
        <f>(F4*F5)+(F4*F6)+F7+F8</f>
        <v>950.234375</v>
      </c>
    </row>
    <row r="10" spans="1:2" ht="12.75">
      <c r="A10" s="4"/>
      <c r="B10" s="60"/>
    </row>
    <row r="11" spans="1:6" ht="12.75">
      <c r="A11" s="2" t="s">
        <v>82</v>
      </c>
      <c r="B11" s="61">
        <v>0.75</v>
      </c>
      <c r="C11" s="61">
        <v>0.75</v>
      </c>
      <c r="D11" s="61">
        <v>0.75</v>
      </c>
      <c r="E11" s="61">
        <v>0.75</v>
      </c>
      <c r="F11" s="61">
        <v>0.75</v>
      </c>
    </row>
    <row r="12" spans="1:6" ht="13.5" thickBot="1">
      <c r="A12" s="2" t="s">
        <v>83</v>
      </c>
      <c r="B12" s="62">
        <v>50</v>
      </c>
      <c r="C12" s="62">
        <v>50</v>
      </c>
      <c r="D12" s="62">
        <v>50</v>
      </c>
      <c r="E12" s="62">
        <v>50</v>
      </c>
      <c r="F12" s="62">
        <v>50</v>
      </c>
    </row>
    <row r="13" spans="1:6" ht="12.75">
      <c r="A13" s="4" t="s">
        <v>84</v>
      </c>
      <c r="B13" s="63">
        <f>B11*B12*B4</f>
        <v>75000</v>
      </c>
      <c r="C13" s="63">
        <f>C11*C12*C4</f>
        <v>78750</v>
      </c>
      <c r="D13" s="63">
        <f>D11*D12*D4</f>
        <v>81562.5</v>
      </c>
      <c r="E13" s="63">
        <f>E11*E12*E4</f>
        <v>83671.875</v>
      </c>
      <c r="F13" s="63">
        <f>F11*F12*F4</f>
        <v>85253.90625</v>
      </c>
    </row>
    <row r="14" spans="1:6" ht="12.75">
      <c r="A14" s="4"/>
      <c r="B14" s="63"/>
      <c r="C14" s="63"/>
      <c r="D14" s="63"/>
      <c r="E14" s="63"/>
      <c r="F14" s="63"/>
    </row>
    <row r="15" spans="1:6" ht="12.75">
      <c r="A15" s="4" t="s">
        <v>85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</row>
    <row r="16" spans="1:2" ht="12.75">
      <c r="A16" s="4"/>
      <c r="B16" s="63"/>
    </row>
    <row r="17" spans="1:2" ht="12.75">
      <c r="A17" s="4" t="s">
        <v>86</v>
      </c>
      <c r="B17" s="64"/>
    </row>
    <row r="18" spans="1:6" ht="12.75">
      <c r="A18" s="2" t="s">
        <v>76</v>
      </c>
      <c r="B18" s="23">
        <v>1000</v>
      </c>
      <c r="C18" s="23">
        <v>1000</v>
      </c>
      <c r="D18" s="23">
        <v>1000</v>
      </c>
      <c r="E18" s="23">
        <v>1000</v>
      </c>
      <c r="F18" s="23">
        <v>1000</v>
      </c>
    </row>
    <row r="19" spans="1:6" ht="12.75">
      <c r="A19" s="2" t="s">
        <v>77</v>
      </c>
      <c r="B19" s="58">
        <v>0.2</v>
      </c>
      <c r="C19" s="58">
        <v>0.2</v>
      </c>
      <c r="D19" s="58">
        <v>0.2</v>
      </c>
      <c r="E19" s="58">
        <v>0.2</v>
      </c>
      <c r="F19" s="58">
        <v>0.2</v>
      </c>
    </row>
    <row r="20" spans="1:6" ht="12.75">
      <c r="A20" s="2" t="s">
        <v>78</v>
      </c>
      <c r="B20" s="58">
        <v>0.13</v>
      </c>
      <c r="C20" s="58">
        <v>0.13</v>
      </c>
      <c r="D20" s="58">
        <v>0.13</v>
      </c>
      <c r="E20" s="58">
        <v>0.13</v>
      </c>
      <c r="F20" s="58">
        <v>0.13</v>
      </c>
    </row>
    <row r="21" spans="1:6" ht="12.75">
      <c r="A21" s="2" t="s">
        <v>79</v>
      </c>
      <c r="B21" s="58">
        <v>300</v>
      </c>
      <c r="C21" s="58">
        <v>300</v>
      </c>
      <c r="D21" s="58">
        <v>300</v>
      </c>
      <c r="E21" s="58">
        <v>300</v>
      </c>
      <c r="F21" s="58">
        <v>300</v>
      </c>
    </row>
    <row r="22" spans="1:6" ht="13.5" thickBot="1">
      <c r="A22" s="2" t="s">
        <v>80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</row>
    <row r="23" spans="1:6" ht="12.75">
      <c r="A23" s="4" t="s">
        <v>87</v>
      </c>
      <c r="B23" s="60">
        <f>(B18*B19)+(B18*B20)+B21+B22</f>
        <v>630</v>
      </c>
      <c r="C23" s="60">
        <f>(C18*C19)+(C18*C20)+C21+C22</f>
        <v>630</v>
      </c>
      <c r="D23" s="60">
        <f>(D18*D19)+(D18*D20)+D21+D22</f>
        <v>630</v>
      </c>
      <c r="E23" s="60">
        <f>(E18*E19)+(E18*E20)+E21+E22</f>
        <v>630</v>
      </c>
      <c r="F23" s="60">
        <f>(F18*F19)+(F18*F20)+F21+F22</f>
        <v>630</v>
      </c>
    </row>
    <row r="25" spans="1:6" ht="12.75">
      <c r="A25" s="2" t="s">
        <v>82</v>
      </c>
      <c r="B25" s="65">
        <v>0.15</v>
      </c>
      <c r="C25" s="65">
        <v>0.15</v>
      </c>
      <c r="D25" s="65">
        <v>0.15</v>
      </c>
      <c r="E25" s="65">
        <v>0.15</v>
      </c>
      <c r="F25" s="65">
        <v>0.15</v>
      </c>
    </row>
    <row r="26" spans="1:6" ht="13.5" thickBot="1">
      <c r="A26" s="2" t="s">
        <v>88</v>
      </c>
      <c r="B26" s="59">
        <v>50</v>
      </c>
      <c r="C26" s="59">
        <v>50</v>
      </c>
      <c r="D26" s="59">
        <v>50</v>
      </c>
      <c r="E26" s="59">
        <v>50</v>
      </c>
      <c r="F26" s="59">
        <v>50</v>
      </c>
    </row>
    <row r="27" spans="1:6" ht="12.75">
      <c r="A27" s="4" t="s">
        <v>89</v>
      </c>
      <c r="B27" s="60">
        <f>B18*B25*B26</f>
        <v>7500</v>
      </c>
      <c r="C27" s="60">
        <f>C18*C25*C26</f>
        <v>7500</v>
      </c>
      <c r="D27" s="60">
        <f>D18*D25*D26</f>
        <v>7500</v>
      </c>
      <c r="E27" s="60">
        <f>E18*E25*E26</f>
        <v>7500</v>
      </c>
      <c r="F27" s="60">
        <f>F18*F25*F26</f>
        <v>7500</v>
      </c>
    </row>
    <row r="28" spans="1:6" ht="12.75">
      <c r="A28" s="4"/>
      <c r="B28" s="60"/>
      <c r="C28" s="60"/>
      <c r="D28" s="60"/>
      <c r="E28" s="60"/>
      <c r="F28" s="60"/>
    </row>
    <row r="29" spans="1:6" ht="12.75">
      <c r="A29" s="4" t="s">
        <v>90</v>
      </c>
      <c r="B29" s="21">
        <v>2</v>
      </c>
      <c r="C29" s="21">
        <v>2</v>
      </c>
      <c r="D29" s="21">
        <v>2</v>
      </c>
      <c r="E29" s="21">
        <v>2</v>
      </c>
      <c r="F29" s="21">
        <v>3</v>
      </c>
    </row>
    <row r="30" spans="1:2" ht="12.75">
      <c r="A30" s="4"/>
      <c r="B30" s="64"/>
    </row>
    <row r="31" spans="1:2" ht="12.75">
      <c r="A31" s="4" t="s">
        <v>91</v>
      </c>
      <c r="B31" s="64"/>
    </row>
    <row r="32" spans="1:6" ht="12.75">
      <c r="A32" s="2" t="s">
        <v>76</v>
      </c>
      <c r="B32" s="23">
        <v>10000</v>
      </c>
      <c r="C32" s="23">
        <v>10000</v>
      </c>
      <c r="D32" s="23">
        <v>10000</v>
      </c>
      <c r="E32" s="23">
        <v>10000</v>
      </c>
      <c r="F32" s="23">
        <v>10000</v>
      </c>
    </row>
    <row r="33" spans="1:6" ht="12.75">
      <c r="A33" s="2" t="s">
        <v>77</v>
      </c>
      <c r="B33" s="58">
        <v>0.2</v>
      </c>
      <c r="C33" s="58">
        <v>0.2</v>
      </c>
      <c r="D33" s="58">
        <v>0.2</v>
      </c>
      <c r="E33" s="58">
        <v>0.2</v>
      </c>
      <c r="F33" s="58">
        <v>0.2</v>
      </c>
    </row>
    <row r="34" spans="1:6" ht="12.75">
      <c r="A34" s="2" t="s">
        <v>78</v>
      </c>
      <c r="B34" s="58">
        <v>0.13</v>
      </c>
      <c r="C34" s="58">
        <v>0.13</v>
      </c>
      <c r="D34" s="58">
        <v>0.13</v>
      </c>
      <c r="E34" s="58">
        <v>0.13</v>
      </c>
      <c r="F34" s="58">
        <v>0.13</v>
      </c>
    </row>
    <row r="35" spans="1:6" ht="12.75">
      <c r="A35" s="2" t="s">
        <v>79</v>
      </c>
      <c r="B35" s="58">
        <v>1200</v>
      </c>
      <c r="C35" s="58">
        <v>1200</v>
      </c>
      <c r="D35" s="58">
        <v>1200</v>
      </c>
      <c r="E35" s="58">
        <v>1200</v>
      </c>
      <c r="F35" s="58">
        <v>1200</v>
      </c>
    </row>
    <row r="36" spans="1:6" ht="13.5" thickBot="1">
      <c r="A36" s="2" t="s">
        <v>80</v>
      </c>
      <c r="B36" s="59">
        <v>800</v>
      </c>
      <c r="C36" s="59">
        <v>800</v>
      </c>
      <c r="D36" s="59">
        <v>800</v>
      </c>
      <c r="E36" s="59">
        <v>800</v>
      </c>
      <c r="F36" s="59">
        <v>800</v>
      </c>
    </row>
    <row r="37" spans="1:6" ht="12.75">
      <c r="A37" s="4" t="s">
        <v>92</v>
      </c>
      <c r="B37" s="60">
        <f>(B32*B33)+(B32*B34)+B35+B36</f>
        <v>5300</v>
      </c>
      <c r="C37" s="60">
        <f>(C32*C33)+(C32*C34)+C35+C36</f>
        <v>5300</v>
      </c>
      <c r="D37" s="60">
        <f>(D32*D33)+(D32*D34)+D35+D36</f>
        <v>5300</v>
      </c>
      <c r="E37" s="60">
        <f>(E32*E33)+(E32*E34)+E35+E36</f>
        <v>5300</v>
      </c>
      <c r="F37" s="60">
        <f>(F32*F33)+(F32*F34)+F35+F36</f>
        <v>5300</v>
      </c>
    </row>
    <row r="39" spans="1:6" ht="12.75">
      <c r="A39" s="2" t="s">
        <v>82</v>
      </c>
      <c r="B39" s="65">
        <v>0.02</v>
      </c>
      <c r="C39" s="65">
        <v>0.02</v>
      </c>
      <c r="D39" s="65">
        <v>0.02</v>
      </c>
      <c r="E39" s="65">
        <v>0.02</v>
      </c>
      <c r="F39" s="65">
        <v>0.02</v>
      </c>
    </row>
    <row r="40" spans="1:6" ht="13.5" thickBot="1">
      <c r="A40" s="2" t="s">
        <v>88</v>
      </c>
      <c r="B40" s="59">
        <v>50</v>
      </c>
      <c r="C40" s="59">
        <v>50</v>
      </c>
      <c r="D40" s="59">
        <v>50</v>
      </c>
      <c r="E40" s="59">
        <v>50</v>
      </c>
      <c r="F40" s="59">
        <v>50</v>
      </c>
    </row>
    <row r="41" spans="1:6" ht="12.75">
      <c r="A41" s="4" t="s">
        <v>93</v>
      </c>
      <c r="B41" s="60">
        <f>B32*B39*B40</f>
        <v>10000</v>
      </c>
      <c r="C41" s="60">
        <f>C32*C39*C40</f>
        <v>10000</v>
      </c>
      <c r="D41" s="60">
        <f>D32*D39*D40</f>
        <v>10000</v>
      </c>
      <c r="E41" s="60">
        <f>E32*E39*E40</f>
        <v>10000</v>
      </c>
      <c r="F41" s="60">
        <f>F32*F39*F40</f>
        <v>10000</v>
      </c>
    </row>
    <row r="42" spans="1:2" ht="12.75">
      <c r="A42" s="4"/>
      <c r="B42" s="60"/>
    </row>
    <row r="43" spans="1:6" ht="12.75">
      <c r="A43" s="4" t="s">
        <v>94</v>
      </c>
      <c r="B43" s="21">
        <v>3</v>
      </c>
      <c r="C43" s="21">
        <v>3</v>
      </c>
      <c r="D43" s="21">
        <v>3</v>
      </c>
      <c r="E43" s="21">
        <v>3</v>
      </c>
      <c r="F43" s="21">
        <v>3</v>
      </c>
    </row>
    <row r="44" spans="1:6" ht="12.75">
      <c r="A44" s="4"/>
      <c r="B44" s="60"/>
      <c r="C44" s="66"/>
      <c r="D44" s="66"/>
      <c r="E44" s="66"/>
      <c r="F44" s="66"/>
    </row>
    <row r="45" spans="1:6" ht="12.75">
      <c r="A45" s="4" t="s">
        <v>95</v>
      </c>
      <c r="B45" s="67">
        <f>((B4*B11)*B15)+((B32*B39)*B43)</f>
        <v>2100</v>
      </c>
      <c r="C45" s="67">
        <f>((C4*C11)*C15)+((C32*C39)*C43)</f>
        <v>2175</v>
      </c>
      <c r="D45" s="67">
        <f>((D4*D11)*D15)+((D32*D39)*D43)</f>
        <v>2231.25</v>
      </c>
      <c r="E45" s="67">
        <f>((E4*E11)*E15)+((E32*E39)*E43)</f>
        <v>2273.4375</v>
      </c>
      <c r="F45" s="67">
        <f>((F4*F11)*F15)+((F32*F39)*F43)</f>
        <v>2305.078125</v>
      </c>
    </row>
    <row r="46" spans="1:6" ht="12.75">
      <c r="A46" s="4" t="s">
        <v>96</v>
      </c>
      <c r="B46" s="68">
        <f>(B45-B4)/B4</f>
        <v>0.05</v>
      </c>
      <c r="C46" s="68">
        <f>(C45-C4)/C4</f>
        <v>0.03571428571428571</v>
      </c>
      <c r="D46" s="68">
        <f>(D45-D4)/D4</f>
        <v>0.02586206896551724</v>
      </c>
      <c r="E46" s="68">
        <f>(E45-E4)/E4</f>
        <v>0.018907563025210083</v>
      </c>
      <c r="F46" s="68">
        <f>(F45-F4)/F4</f>
        <v>0.013917525773195877</v>
      </c>
    </row>
    <row r="47" spans="1:6" ht="12.75">
      <c r="A47" s="4"/>
      <c r="B47" s="60"/>
      <c r="C47" s="66"/>
      <c r="D47" s="66"/>
      <c r="E47" s="66"/>
      <c r="F47" s="66"/>
    </row>
    <row r="48" ht="12.75">
      <c r="A48" s="15">
        <f>'Chart of Accounts'!E15</f>
        <v>2001</v>
      </c>
    </row>
    <row r="49" spans="1:7" s="15" customFormat="1" ht="12.75">
      <c r="A49" s="17" t="s">
        <v>97</v>
      </c>
      <c r="B49" s="200" t="s">
        <v>176</v>
      </c>
      <c r="C49" s="17" t="s">
        <v>98</v>
      </c>
      <c r="D49" s="17" t="str">
        <f>'Chart of Accounts'!C16</f>
        <v>Other PS</v>
      </c>
      <c r="E49" s="17" t="str">
        <f>'Chart of Accounts'!D16</f>
        <v>Postage</v>
      </c>
      <c r="F49" s="17" t="str">
        <f>'Chart of Accounts'!D21</f>
        <v>Printing</v>
      </c>
      <c r="G49" s="17" t="s">
        <v>57</v>
      </c>
    </row>
    <row r="50" spans="1:7" ht="12.75">
      <c r="A50" s="74" t="str">
        <f>A3</f>
        <v>RENEWALS</v>
      </c>
      <c r="B50" s="237">
        <v>36923</v>
      </c>
      <c r="C50" s="231">
        <f aca="true" t="shared" si="0" ref="C50:C58">IF(A50=$A$3,$B$13,IF(A50=$A$17,$B$27,IF(A50="",0,$B$41)))</f>
        <v>75000</v>
      </c>
      <c r="D50" s="231">
        <f aca="true" t="shared" si="1" ref="D50:D58">IF(A50=$A$3,$B$7+$B$8,IF(A50=$A$17,$B$21+$B$22,IF(A50="",0,$B$35+$B$36)))</f>
        <v>200</v>
      </c>
      <c r="E50" s="231">
        <f aca="true" t="shared" si="2" ref="E50:E58">IF(A50=$A$3,$B$6*$B$4,IF(A50=$A$17,$B$20*$B$18,IF(A50="",0,$B$34*$B$32)))</f>
        <v>260</v>
      </c>
      <c r="F50" s="231">
        <f aca="true" t="shared" si="3" ref="F50:F58">IF(A50=$A$3,$B$5*$B$4,IF(A50=$A$17,$B$19*$B$18,IF(A50="",0,$B$32*$B$33)))</f>
        <v>400</v>
      </c>
      <c r="G50" s="275">
        <f aca="true" t="shared" si="4" ref="G50:G58">SUM(D50:F50)</f>
        <v>860</v>
      </c>
    </row>
    <row r="51" spans="1:7" ht="12.75">
      <c r="A51" s="75" t="str">
        <f>A17</f>
        <v>APPEALS</v>
      </c>
      <c r="B51" s="238">
        <v>36892</v>
      </c>
      <c r="C51" s="232">
        <f t="shared" si="0"/>
        <v>7500</v>
      </c>
      <c r="D51" s="232">
        <f t="shared" si="1"/>
        <v>300</v>
      </c>
      <c r="E51" s="232">
        <f t="shared" si="2"/>
        <v>130</v>
      </c>
      <c r="F51" s="232">
        <f t="shared" si="3"/>
        <v>200</v>
      </c>
      <c r="G51" s="276">
        <f t="shared" si="4"/>
        <v>630</v>
      </c>
    </row>
    <row r="52" spans="1:7" ht="12.75">
      <c r="A52" s="75" t="str">
        <f>A31</f>
        <v>NEW MEMBER ACQUISITION</v>
      </c>
      <c r="B52" s="238">
        <v>37012</v>
      </c>
      <c r="C52" s="232">
        <f t="shared" si="0"/>
        <v>10000</v>
      </c>
      <c r="D52" s="232">
        <f t="shared" si="1"/>
        <v>2000</v>
      </c>
      <c r="E52" s="232">
        <f t="shared" si="2"/>
        <v>1300</v>
      </c>
      <c r="F52" s="232">
        <f t="shared" si="3"/>
        <v>2000</v>
      </c>
      <c r="G52" s="276">
        <f t="shared" si="4"/>
        <v>5300</v>
      </c>
    </row>
    <row r="53" spans="1:7" ht="12.75">
      <c r="A53" s="75" t="str">
        <f>A17</f>
        <v>APPEALS</v>
      </c>
      <c r="B53" s="238">
        <v>37135</v>
      </c>
      <c r="C53" s="232">
        <f t="shared" si="0"/>
        <v>7500</v>
      </c>
      <c r="D53" s="232">
        <f t="shared" si="1"/>
        <v>300</v>
      </c>
      <c r="E53" s="232">
        <f t="shared" si="2"/>
        <v>130</v>
      </c>
      <c r="F53" s="232">
        <f t="shared" si="3"/>
        <v>200</v>
      </c>
      <c r="G53" s="276">
        <f t="shared" si="4"/>
        <v>630</v>
      </c>
    </row>
    <row r="54" spans="1:7" ht="12.75">
      <c r="A54" s="75" t="str">
        <f>A31</f>
        <v>NEW MEMBER ACQUISITION</v>
      </c>
      <c r="B54" s="238">
        <v>37226</v>
      </c>
      <c r="C54" s="232">
        <f t="shared" si="0"/>
        <v>10000</v>
      </c>
      <c r="D54" s="232">
        <f t="shared" si="1"/>
        <v>2000</v>
      </c>
      <c r="E54" s="232">
        <f t="shared" si="2"/>
        <v>1300</v>
      </c>
      <c r="F54" s="232">
        <f t="shared" si="3"/>
        <v>2000</v>
      </c>
      <c r="G54" s="276">
        <f t="shared" si="4"/>
        <v>5300</v>
      </c>
    </row>
    <row r="55" spans="1:7" ht="12.75">
      <c r="A55" s="75" t="str">
        <f>A31</f>
        <v>NEW MEMBER ACQUISITION</v>
      </c>
      <c r="B55" s="238">
        <v>37073</v>
      </c>
      <c r="C55" s="232">
        <f t="shared" si="0"/>
        <v>10000</v>
      </c>
      <c r="D55" s="232">
        <f t="shared" si="1"/>
        <v>2000</v>
      </c>
      <c r="E55" s="232">
        <f t="shared" si="2"/>
        <v>1300</v>
      </c>
      <c r="F55" s="232">
        <f t="shared" si="3"/>
        <v>2000</v>
      </c>
      <c r="G55" s="276">
        <f t="shared" si="4"/>
        <v>5300</v>
      </c>
    </row>
    <row r="56" spans="1:7" ht="12.75">
      <c r="A56" s="75"/>
      <c r="B56" s="238"/>
      <c r="C56" s="232">
        <f t="shared" si="0"/>
        <v>0</v>
      </c>
      <c r="D56" s="232">
        <f t="shared" si="1"/>
        <v>0</v>
      </c>
      <c r="E56" s="232">
        <f t="shared" si="2"/>
        <v>0</v>
      </c>
      <c r="F56" s="232">
        <f t="shared" si="3"/>
        <v>0</v>
      </c>
      <c r="G56" s="276">
        <f t="shared" si="4"/>
        <v>0</v>
      </c>
    </row>
    <row r="57" spans="1:7" ht="12.75">
      <c r="A57" s="75"/>
      <c r="B57" s="238"/>
      <c r="C57" s="232">
        <f t="shared" si="0"/>
        <v>0</v>
      </c>
      <c r="D57" s="232">
        <f t="shared" si="1"/>
        <v>0</v>
      </c>
      <c r="E57" s="232">
        <f t="shared" si="2"/>
        <v>0</v>
      </c>
      <c r="F57" s="232">
        <f t="shared" si="3"/>
        <v>0</v>
      </c>
      <c r="G57" s="276">
        <f t="shared" si="4"/>
        <v>0</v>
      </c>
    </row>
    <row r="58" spans="1:7" ht="13.5" thickBot="1">
      <c r="A58" s="205"/>
      <c r="B58" s="239"/>
      <c r="C58" s="236">
        <f t="shared" si="0"/>
        <v>0</v>
      </c>
      <c r="D58" s="236">
        <f t="shared" si="1"/>
        <v>0</v>
      </c>
      <c r="E58" s="236">
        <f t="shared" si="2"/>
        <v>0</v>
      </c>
      <c r="F58" s="236">
        <f t="shared" si="3"/>
        <v>0</v>
      </c>
      <c r="G58" s="277">
        <f t="shared" si="4"/>
        <v>0</v>
      </c>
    </row>
    <row r="59" spans="1:7" s="4" customFormat="1" ht="15">
      <c r="A59" s="4" t="s">
        <v>46</v>
      </c>
      <c r="C59" s="228">
        <f>SUM(C50:C58)</f>
        <v>120000</v>
      </c>
      <c r="D59" s="228">
        <f>SUM(D50:D58)</f>
        <v>6800</v>
      </c>
      <c r="E59" s="228">
        <f>SUM(E50:E58)</f>
        <v>4420</v>
      </c>
      <c r="F59" s="228">
        <f>SUM(F50:F58)</f>
        <v>6800</v>
      </c>
      <c r="G59" s="228">
        <f>SUM(G50:G58)</f>
        <v>18020</v>
      </c>
    </row>
    <row r="60" spans="3:5" ht="12.75">
      <c r="C60" s="69"/>
      <c r="D60" s="69"/>
      <c r="E60" s="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W29"/>
  <sheetViews>
    <sheetView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3.28125" style="2" customWidth="1"/>
    <col min="2" max="2" width="14.57421875" style="2" customWidth="1"/>
    <col min="3" max="3" width="16.421875" style="2" customWidth="1"/>
    <col min="4" max="4" width="13.7109375" style="2" customWidth="1"/>
    <col min="5" max="5" width="12.140625" style="2" customWidth="1"/>
    <col min="6" max="6" width="11.7109375" style="2" customWidth="1"/>
    <col min="7" max="7" width="13.28125" style="2" customWidth="1"/>
    <col min="8" max="11" width="10.7109375" style="2" customWidth="1"/>
    <col min="12" max="12" width="13.28125" style="2" customWidth="1"/>
    <col min="13" max="16384" width="9.140625" style="2" customWidth="1"/>
  </cols>
  <sheetData>
    <row r="1" spans="1:3" ht="12.75">
      <c r="A1" s="15" t="s">
        <v>24</v>
      </c>
      <c r="B1" s="15"/>
      <c r="C1" s="15"/>
    </row>
    <row r="2" spans="1:12" s="34" customFormat="1" ht="12.75">
      <c r="A2" s="15" t="s">
        <v>99</v>
      </c>
      <c r="B2" s="144" t="s">
        <v>153</v>
      </c>
      <c r="C2" s="144" t="s">
        <v>176</v>
      </c>
      <c r="D2" s="15" t="s">
        <v>159</v>
      </c>
      <c r="E2" s="71" t="s">
        <v>46</v>
      </c>
      <c r="F2" s="15" t="s">
        <v>100</v>
      </c>
      <c r="G2" s="15" t="s">
        <v>101</v>
      </c>
      <c r="H2" s="15">
        <f>'Chart of Accounts'!$E$16</f>
        <v>2002</v>
      </c>
      <c r="I2" s="15">
        <f>'Chart of Accounts'!$E$17</f>
        <v>2003</v>
      </c>
      <c r="J2" s="15">
        <f>'Chart of Accounts'!$E$18</f>
        <v>2004</v>
      </c>
      <c r="K2" s="15">
        <f>'Chart of Accounts'!$E$19</f>
        <v>2005</v>
      </c>
      <c r="L2" s="15" t="s">
        <v>46</v>
      </c>
    </row>
    <row r="3" spans="1:23" ht="12.75">
      <c r="A3" s="74"/>
      <c r="B3" s="203" t="s">
        <v>64</v>
      </c>
      <c r="C3" s="196">
        <v>36892</v>
      </c>
      <c r="D3" s="192">
        <v>25000</v>
      </c>
      <c r="E3" s="231">
        <f aca="true" t="shared" si="0" ref="E3:E25">SUM(D3:D3)</f>
        <v>25000</v>
      </c>
      <c r="F3" s="255"/>
      <c r="G3" s="231">
        <f aca="true" t="shared" si="1" ref="G3:G25">E3-F3</f>
        <v>25000</v>
      </c>
      <c r="H3" s="152">
        <v>25000</v>
      </c>
      <c r="I3" s="152">
        <v>25000</v>
      </c>
      <c r="J3" s="152">
        <v>25000</v>
      </c>
      <c r="K3" s="23">
        <v>25000</v>
      </c>
      <c r="L3" s="231">
        <f aca="true" t="shared" si="2" ref="L3:L25">E3+SUM(H3:K3)</f>
        <v>125000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2.75">
      <c r="A4" s="75"/>
      <c r="B4" s="201" t="s">
        <v>186</v>
      </c>
      <c r="C4" s="191">
        <v>37043</v>
      </c>
      <c r="D4" s="194">
        <v>30000</v>
      </c>
      <c r="E4" s="232">
        <f t="shared" si="0"/>
        <v>30000</v>
      </c>
      <c r="F4" s="254"/>
      <c r="G4" s="232">
        <f t="shared" si="1"/>
        <v>30000</v>
      </c>
      <c r="H4" s="152">
        <v>30000</v>
      </c>
      <c r="I4" s="152">
        <v>15000</v>
      </c>
      <c r="J4" s="152">
        <v>5000</v>
      </c>
      <c r="K4" s="23"/>
      <c r="L4" s="232">
        <f t="shared" si="2"/>
        <v>80000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75"/>
      <c r="B5" s="201"/>
      <c r="C5" s="75"/>
      <c r="D5" s="194"/>
      <c r="E5" s="232">
        <f t="shared" si="0"/>
        <v>0</v>
      </c>
      <c r="F5" s="254"/>
      <c r="G5" s="232">
        <f t="shared" si="1"/>
        <v>0</v>
      </c>
      <c r="H5" s="152"/>
      <c r="I5" s="152"/>
      <c r="J5" s="152"/>
      <c r="K5" s="23"/>
      <c r="L5" s="232">
        <f t="shared" si="2"/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75"/>
      <c r="B6" s="201" t="s">
        <v>163</v>
      </c>
      <c r="C6" s="191">
        <v>37043</v>
      </c>
      <c r="D6" s="194">
        <v>25000</v>
      </c>
      <c r="E6" s="232">
        <f t="shared" si="0"/>
        <v>25000</v>
      </c>
      <c r="F6" s="254"/>
      <c r="G6" s="232">
        <f t="shared" si="1"/>
        <v>25000</v>
      </c>
      <c r="H6" s="152">
        <v>25000</v>
      </c>
      <c r="I6" s="152"/>
      <c r="J6" s="152"/>
      <c r="K6" s="23">
        <v>25000</v>
      </c>
      <c r="L6" s="232">
        <f t="shared" si="2"/>
        <v>75000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75"/>
      <c r="B7" s="201"/>
      <c r="C7" s="75"/>
      <c r="D7" s="194"/>
      <c r="E7" s="232">
        <f t="shared" si="0"/>
        <v>0</v>
      </c>
      <c r="F7" s="254"/>
      <c r="G7" s="232">
        <f t="shared" si="1"/>
        <v>0</v>
      </c>
      <c r="H7" s="152"/>
      <c r="I7" s="152"/>
      <c r="J7" s="152"/>
      <c r="K7" s="23"/>
      <c r="L7" s="232">
        <f t="shared" si="2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75"/>
      <c r="B8" s="201"/>
      <c r="C8" s="75"/>
      <c r="D8" s="194"/>
      <c r="E8" s="232">
        <f t="shared" si="0"/>
        <v>0</v>
      </c>
      <c r="F8" s="254"/>
      <c r="G8" s="232">
        <f t="shared" si="1"/>
        <v>0</v>
      </c>
      <c r="H8" s="152"/>
      <c r="I8" s="152"/>
      <c r="J8" s="152"/>
      <c r="K8" s="23"/>
      <c r="L8" s="232">
        <f t="shared" si="2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75"/>
      <c r="B9" s="201"/>
      <c r="C9" s="75"/>
      <c r="D9" s="194"/>
      <c r="E9" s="232">
        <f t="shared" si="0"/>
        <v>0</v>
      </c>
      <c r="F9" s="254"/>
      <c r="G9" s="232">
        <f t="shared" si="1"/>
        <v>0</v>
      </c>
      <c r="H9" s="152"/>
      <c r="I9" s="152"/>
      <c r="J9" s="152"/>
      <c r="K9" s="23"/>
      <c r="L9" s="232">
        <f t="shared" si="2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75"/>
      <c r="B10" s="201"/>
      <c r="C10" s="75"/>
      <c r="D10" s="194"/>
      <c r="E10" s="232">
        <f t="shared" si="0"/>
        <v>0</v>
      </c>
      <c r="F10" s="254"/>
      <c r="G10" s="232">
        <f t="shared" si="1"/>
        <v>0</v>
      </c>
      <c r="H10" s="152"/>
      <c r="I10" s="152"/>
      <c r="J10" s="152"/>
      <c r="K10" s="23"/>
      <c r="L10" s="232">
        <f t="shared" si="2"/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75"/>
      <c r="B11" s="201" t="s">
        <v>64</v>
      </c>
      <c r="C11" s="191">
        <v>36892</v>
      </c>
      <c r="D11" s="194">
        <v>25000</v>
      </c>
      <c r="E11" s="232">
        <f t="shared" si="0"/>
        <v>25000</v>
      </c>
      <c r="F11" s="254"/>
      <c r="G11" s="232">
        <f t="shared" si="1"/>
        <v>25000</v>
      </c>
      <c r="H11" s="152"/>
      <c r="I11" s="152"/>
      <c r="J11" s="152"/>
      <c r="K11" s="23"/>
      <c r="L11" s="232">
        <f t="shared" si="2"/>
        <v>25000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75"/>
      <c r="B12" s="201"/>
      <c r="C12" s="75"/>
      <c r="D12" s="194"/>
      <c r="E12" s="232">
        <f t="shared" si="0"/>
        <v>0</v>
      </c>
      <c r="F12" s="254"/>
      <c r="G12" s="232">
        <f t="shared" si="1"/>
        <v>0</v>
      </c>
      <c r="H12" s="152"/>
      <c r="I12" s="152"/>
      <c r="J12" s="152"/>
      <c r="K12" s="23"/>
      <c r="L12" s="232">
        <f t="shared" si="2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75"/>
      <c r="B13" s="201"/>
      <c r="C13" s="75"/>
      <c r="D13" s="194"/>
      <c r="E13" s="232">
        <f t="shared" si="0"/>
        <v>0</v>
      </c>
      <c r="F13" s="254"/>
      <c r="G13" s="232">
        <f t="shared" si="1"/>
        <v>0</v>
      </c>
      <c r="H13" s="152"/>
      <c r="I13" s="152"/>
      <c r="J13" s="152"/>
      <c r="K13" s="23"/>
      <c r="L13" s="232">
        <f t="shared" si="2"/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75"/>
      <c r="B14" s="201"/>
      <c r="C14" s="75"/>
      <c r="D14" s="194"/>
      <c r="E14" s="232">
        <f t="shared" si="0"/>
        <v>0</v>
      </c>
      <c r="F14" s="254"/>
      <c r="G14" s="232">
        <f t="shared" si="1"/>
        <v>0</v>
      </c>
      <c r="H14" s="152"/>
      <c r="I14" s="152"/>
      <c r="J14" s="152"/>
      <c r="K14" s="23"/>
      <c r="L14" s="232">
        <f t="shared" si="2"/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75"/>
      <c r="B15" s="201"/>
      <c r="C15" s="75"/>
      <c r="D15" s="194"/>
      <c r="E15" s="232">
        <f t="shared" si="0"/>
        <v>0</v>
      </c>
      <c r="F15" s="254"/>
      <c r="G15" s="232">
        <f t="shared" si="1"/>
        <v>0</v>
      </c>
      <c r="H15" s="152"/>
      <c r="I15" s="152"/>
      <c r="J15" s="152"/>
      <c r="K15" s="23"/>
      <c r="L15" s="232">
        <f t="shared" si="2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75"/>
      <c r="B16" s="201"/>
      <c r="C16" s="75"/>
      <c r="D16" s="194"/>
      <c r="E16" s="232">
        <f t="shared" si="0"/>
        <v>0</v>
      </c>
      <c r="F16" s="254"/>
      <c r="G16" s="232">
        <f t="shared" si="1"/>
        <v>0</v>
      </c>
      <c r="H16" s="152"/>
      <c r="I16" s="152"/>
      <c r="J16" s="152"/>
      <c r="K16" s="23"/>
      <c r="L16" s="232">
        <f t="shared" si="2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75"/>
      <c r="B17" s="201"/>
      <c r="C17" s="75"/>
      <c r="D17" s="194"/>
      <c r="E17" s="232">
        <f t="shared" si="0"/>
        <v>0</v>
      </c>
      <c r="F17" s="254"/>
      <c r="G17" s="232">
        <f t="shared" si="1"/>
        <v>0</v>
      </c>
      <c r="H17" s="152"/>
      <c r="I17" s="152"/>
      <c r="J17" s="152"/>
      <c r="K17" s="23"/>
      <c r="L17" s="232">
        <f t="shared" si="2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14" ht="12.75">
      <c r="A18" s="75"/>
      <c r="B18" s="201"/>
      <c r="C18" s="75"/>
      <c r="D18" s="194"/>
      <c r="E18" s="232">
        <f t="shared" si="0"/>
        <v>0</v>
      </c>
      <c r="F18" s="254"/>
      <c r="G18" s="232">
        <f t="shared" si="1"/>
        <v>0</v>
      </c>
      <c r="H18" s="152"/>
      <c r="I18" s="152"/>
      <c r="J18" s="152"/>
      <c r="K18" s="23"/>
      <c r="L18" s="232">
        <f t="shared" si="2"/>
        <v>0</v>
      </c>
      <c r="M18" s="12"/>
      <c r="N18" s="12"/>
    </row>
    <row r="19" spans="1:14" ht="12.75">
      <c r="A19" s="75"/>
      <c r="B19" s="201"/>
      <c r="C19" s="75"/>
      <c r="D19" s="194"/>
      <c r="E19" s="232">
        <f t="shared" si="0"/>
        <v>0</v>
      </c>
      <c r="F19" s="254"/>
      <c r="G19" s="232">
        <f t="shared" si="1"/>
        <v>0</v>
      </c>
      <c r="H19" s="152"/>
      <c r="I19" s="152"/>
      <c r="J19" s="152"/>
      <c r="K19" s="23"/>
      <c r="L19" s="232">
        <f t="shared" si="2"/>
        <v>0</v>
      </c>
      <c r="M19" s="12"/>
      <c r="N19" s="12"/>
    </row>
    <row r="20" spans="1:23" ht="12.75">
      <c r="A20" s="75"/>
      <c r="B20" s="201"/>
      <c r="C20" s="75"/>
      <c r="D20" s="194"/>
      <c r="E20" s="232">
        <f t="shared" si="0"/>
        <v>0</v>
      </c>
      <c r="F20" s="254"/>
      <c r="G20" s="232">
        <f t="shared" si="1"/>
        <v>0</v>
      </c>
      <c r="H20" s="152"/>
      <c r="I20" s="152"/>
      <c r="J20" s="152"/>
      <c r="K20" s="23"/>
      <c r="L20" s="232">
        <f t="shared" si="2"/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75"/>
      <c r="B21" s="201"/>
      <c r="C21" s="75"/>
      <c r="D21" s="194"/>
      <c r="E21" s="232">
        <f t="shared" si="0"/>
        <v>0</v>
      </c>
      <c r="F21" s="254"/>
      <c r="G21" s="232">
        <f t="shared" si="1"/>
        <v>0</v>
      </c>
      <c r="H21" s="152"/>
      <c r="I21" s="152"/>
      <c r="J21" s="152"/>
      <c r="K21" s="23"/>
      <c r="L21" s="232">
        <f t="shared" si="2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75"/>
      <c r="B22" s="201"/>
      <c r="C22" s="75"/>
      <c r="D22" s="194"/>
      <c r="E22" s="232">
        <f t="shared" si="0"/>
        <v>0</v>
      </c>
      <c r="F22" s="254"/>
      <c r="G22" s="232">
        <f t="shared" si="1"/>
        <v>0</v>
      </c>
      <c r="H22" s="152"/>
      <c r="I22" s="152"/>
      <c r="J22" s="152"/>
      <c r="K22" s="23"/>
      <c r="L22" s="232">
        <f t="shared" si="2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75"/>
      <c r="B23" s="201"/>
      <c r="C23" s="75"/>
      <c r="D23" s="194"/>
      <c r="E23" s="232">
        <f t="shared" si="0"/>
        <v>0</v>
      </c>
      <c r="F23" s="254"/>
      <c r="G23" s="232">
        <f t="shared" si="1"/>
        <v>0</v>
      </c>
      <c r="H23" s="152"/>
      <c r="I23" s="152"/>
      <c r="J23" s="152"/>
      <c r="K23" s="23"/>
      <c r="L23" s="232">
        <f t="shared" si="2"/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75"/>
      <c r="B24" s="201"/>
      <c r="C24" s="75"/>
      <c r="D24" s="194"/>
      <c r="E24" s="232">
        <f t="shared" si="0"/>
        <v>0</v>
      </c>
      <c r="F24" s="254"/>
      <c r="G24" s="232">
        <f t="shared" si="1"/>
        <v>0</v>
      </c>
      <c r="H24" s="152"/>
      <c r="I24" s="152"/>
      <c r="J24" s="152"/>
      <c r="K24" s="23"/>
      <c r="L24" s="232">
        <f t="shared" si="2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3.5" thickBot="1">
      <c r="A25" s="205"/>
      <c r="B25" s="216"/>
      <c r="C25" s="205"/>
      <c r="D25" s="245"/>
      <c r="E25" s="236">
        <f t="shared" si="0"/>
        <v>0</v>
      </c>
      <c r="F25" s="256"/>
      <c r="G25" s="236">
        <f t="shared" si="1"/>
        <v>0</v>
      </c>
      <c r="H25" s="206"/>
      <c r="I25" s="206"/>
      <c r="J25" s="206"/>
      <c r="K25" s="73"/>
      <c r="L25" s="236">
        <f t="shared" si="2"/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4" customFormat="1" ht="15">
      <c r="A26" s="4" t="s">
        <v>46</v>
      </c>
      <c r="D26" s="228">
        <f aca="true" t="shared" si="3" ref="D26:L26">SUM(D3:D25)</f>
        <v>105000</v>
      </c>
      <c r="E26" s="228">
        <f t="shared" si="3"/>
        <v>105000</v>
      </c>
      <c r="F26" s="228">
        <f t="shared" si="3"/>
        <v>0</v>
      </c>
      <c r="G26" s="228">
        <f t="shared" si="3"/>
        <v>105000</v>
      </c>
      <c r="H26" s="228">
        <f t="shared" si="3"/>
        <v>80000</v>
      </c>
      <c r="I26" s="228">
        <f t="shared" si="3"/>
        <v>40000</v>
      </c>
      <c r="J26" s="228">
        <f t="shared" si="3"/>
        <v>30000</v>
      </c>
      <c r="K26" s="228">
        <f t="shared" si="3"/>
        <v>50000</v>
      </c>
      <c r="L26" s="228">
        <f t="shared" si="3"/>
        <v>305000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4:23" ht="12.7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2.7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13" ht="12.7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E52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8" customWidth="1"/>
    <col min="2" max="2" width="12.7109375" style="138" customWidth="1"/>
    <col min="3" max="3" width="12.7109375" style="139" customWidth="1"/>
    <col min="4" max="5" width="12.7109375" style="138" customWidth="1"/>
    <col min="6" max="6" width="12.140625" style="138" customWidth="1"/>
    <col min="7" max="7" width="15.140625" style="138" customWidth="1"/>
    <col min="8" max="12" width="12.7109375" style="137" customWidth="1"/>
    <col min="13" max="13" width="10.7109375" style="137" customWidth="1"/>
    <col min="14" max="14" width="8.7109375" style="137" customWidth="1"/>
    <col min="15" max="15" width="8.8515625" style="137" customWidth="1"/>
    <col min="16" max="17" width="10.7109375" style="149" customWidth="1"/>
    <col min="18" max="19" width="11.421875" style="138" customWidth="1"/>
    <col min="20" max="20" width="21.8515625" style="138" customWidth="1"/>
    <col min="21" max="30" width="11.140625" style="138" customWidth="1"/>
    <col min="31" max="31" width="11.140625" style="139" customWidth="1"/>
    <col min="32" max="16384" width="11.421875" style="138" customWidth="1"/>
  </cols>
  <sheetData>
    <row r="1" spans="1:17" ht="18">
      <c r="A1" s="134" t="s">
        <v>134</v>
      </c>
      <c r="B1" s="135"/>
      <c r="C1" s="135"/>
      <c r="D1" s="136"/>
      <c r="E1" s="136"/>
      <c r="F1" s="135"/>
      <c r="G1" s="135"/>
      <c r="P1" s="138"/>
      <c r="Q1" s="138"/>
    </row>
    <row r="2" spans="1:17" ht="15" customHeight="1">
      <c r="A2" s="140" t="s">
        <v>135</v>
      </c>
      <c r="B2" s="135"/>
      <c r="C2" s="135"/>
      <c r="D2" s="136"/>
      <c r="E2" s="136"/>
      <c r="F2" s="135"/>
      <c r="G2" s="135"/>
      <c r="P2" s="138"/>
      <c r="Q2" s="138"/>
    </row>
    <row r="3" spans="1:17" ht="15" customHeight="1">
      <c r="A3" s="141" t="s">
        <v>150</v>
      </c>
      <c r="B3" s="135"/>
      <c r="C3" s="135"/>
      <c r="D3" s="136"/>
      <c r="E3" s="136"/>
      <c r="F3" s="135"/>
      <c r="G3" s="135"/>
      <c r="P3" s="138"/>
      <c r="Q3" s="138"/>
    </row>
    <row r="4" spans="1:17" ht="15" customHeight="1">
      <c r="A4" s="141" t="s">
        <v>151</v>
      </c>
      <c r="B4" s="135"/>
      <c r="C4" s="135"/>
      <c r="D4" s="136"/>
      <c r="E4" s="136"/>
      <c r="F4" s="135"/>
      <c r="G4" s="135"/>
      <c r="P4" s="138"/>
      <c r="Q4" s="138"/>
    </row>
    <row r="5" spans="1:17" ht="15" customHeight="1">
      <c r="A5" s="138" t="s">
        <v>136</v>
      </c>
      <c r="B5" s="135"/>
      <c r="C5" s="135"/>
      <c r="D5" s="136"/>
      <c r="E5" s="136"/>
      <c r="F5" s="135"/>
      <c r="G5" s="135"/>
      <c r="P5" s="138"/>
      <c r="Q5" s="138"/>
    </row>
    <row r="6" spans="1:17" ht="15" customHeight="1">
      <c r="A6" s="141" t="s">
        <v>152</v>
      </c>
      <c r="B6" s="135"/>
      <c r="C6" s="135"/>
      <c r="D6" s="136"/>
      <c r="E6" s="136"/>
      <c r="F6" s="135"/>
      <c r="G6" s="135"/>
      <c r="P6" s="138"/>
      <c r="Q6" s="138"/>
    </row>
    <row r="7" spans="1:17" ht="15" customHeight="1">
      <c r="A7" s="138" t="s">
        <v>137</v>
      </c>
      <c r="B7" s="135"/>
      <c r="C7" s="135"/>
      <c r="D7" s="136"/>
      <c r="E7" s="136"/>
      <c r="F7" s="135"/>
      <c r="G7" s="135"/>
      <c r="P7" s="138"/>
      <c r="Q7" s="138"/>
    </row>
    <row r="8" spans="2:17" ht="15" customHeight="1">
      <c r="B8" s="135"/>
      <c r="C8" s="135"/>
      <c r="D8" s="136"/>
      <c r="E8" s="136"/>
      <c r="F8" s="135"/>
      <c r="G8" s="135"/>
      <c r="P8" s="138"/>
      <c r="Q8" s="138"/>
    </row>
    <row r="9" spans="1:31" ht="15" customHeight="1">
      <c r="A9" s="140"/>
      <c r="B9" s="142" t="s">
        <v>138</v>
      </c>
      <c r="C9" s="142" t="s">
        <v>138</v>
      </c>
      <c r="D9" s="143" t="s">
        <v>139</v>
      </c>
      <c r="E9" s="142" t="s">
        <v>140</v>
      </c>
      <c r="F9" s="144"/>
      <c r="G9" s="144"/>
      <c r="L9" s="2"/>
      <c r="M9" s="145"/>
      <c r="N9" s="145"/>
      <c r="O9" s="136"/>
      <c r="P9" s="138"/>
      <c r="Q9" s="138"/>
      <c r="AC9" s="139"/>
      <c r="AE9" s="138"/>
    </row>
    <row r="10" spans="1:31" ht="12.75">
      <c r="A10" s="147">
        <v>2001</v>
      </c>
      <c r="B10" s="142" t="s">
        <v>141</v>
      </c>
      <c r="C10" s="142" t="s">
        <v>142</v>
      </c>
      <c r="D10" s="143" t="s">
        <v>143</v>
      </c>
      <c r="E10" s="142" t="s">
        <v>145</v>
      </c>
      <c r="F10" s="144" t="s">
        <v>176</v>
      </c>
      <c r="G10" s="144" t="s">
        <v>153</v>
      </c>
      <c r="H10" s="15">
        <f>'Chart of Accounts'!$E$16</f>
        <v>2002</v>
      </c>
      <c r="I10" s="15">
        <f>'Chart of Accounts'!$E$17</f>
        <v>2003</v>
      </c>
      <c r="J10" s="15">
        <f>'Chart of Accounts'!$E$18</f>
        <v>2004</v>
      </c>
      <c r="K10" s="15">
        <f>'Chart of Accounts'!$E$19</f>
        <v>2005</v>
      </c>
      <c r="L10" s="15" t="s">
        <v>46</v>
      </c>
      <c r="M10" s="146"/>
      <c r="N10" s="146"/>
      <c r="O10" s="147"/>
      <c r="P10" s="138"/>
      <c r="Q10" s="138"/>
      <c r="AC10" s="139"/>
      <c r="AE10" s="138"/>
    </row>
    <row r="11" spans="1:31" ht="12.75">
      <c r="A11" s="217" t="s">
        <v>215</v>
      </c>
      <c r="B11" s="156">
        <v>10000</v>
      </c>
      <c r="C11" s="156">
        <v>10000</v>
      </c>
      <c r="D11" s="158">
        <v>1</v>
      </c>
      <c r="E11" s="234">
        <f aca="true" t="shared" si="0" ref="E11:E29">SUM(C11*D11)</f>
        <v>10000</v>
      </c>
      <c r="F11" s="154">
        <v>36892</v>
      </c>
      <c r="G11" s="187" t="s">
        <v>64</v>
      </c>
      <c r="H11" s="151">
        <v>10000</v>
      </c>
      <c r="I11" s="151">
        <v>10000</v>
      </c>
      <c r="J11" s="151">
        <v>10000</v>
      </c>
      <c r="K11" s="193">
        <v>10000</v>
      </c>
      <c r="L11" s="234">
        <f aca="true" t="shared" si="1" ref="L11:L29">E11+SUM(H11:K11)</f>
        <v>50000</v>
      </c>
      <c r="M11" s="145"/>
      <c r="N11" s="145"/>
      <c r="O11" s="145"/>
      <c r="P11" s="138"/>
      <c r="Q11" s="138"/>
      <c r="AC11" s="139"/>
      <c r="AE11" s="138"/>
    </row>
    <row r="12" spans="1:31" ht="12.75">
      <c r="A12" s="218" t="s">
        <v>216</v>
      </c>
      <c r="B12" s="157">
        <v>20000</v>
      </c>
      <c r="C12" s="157">
        <v>15000</v>
      </c>
      <c r="D12" s="159">
        <v>0.8</v>
      </c>
      <c r="E12" s="235">
        <f t="shared" si="0"/>
        <v>12000</v>
      </c>
      <c r="F12" s="155">
        <v>37012</v>
      </c>
      <c r="G12" s="199" t="s">
        <v>181</v>
      </c>
      <c r="H12" s="152">
        <v>20000</v>
      </c>
      <c r="I12" s="152">
        <v>20000</v>
      </c>
      <c r="J12" s="152">
        <v>20000</v>
      </c>
      <c r="K12" s="195">
        <v>20000</v>
      </c>
      <c r="L12" s="235">
        <f t="shared" si="1"/>
        <v>92000</v>
      </c>
      <c r="O12" s="148"/>
      <c r="P12" s="138"/>
      <c r="Q12" s="138"/>
      <c r="AC12" s="139"/>
      <c r="AE12" s="138"/>
    </row>
    <row r="13" spans="1:31" ht="12.75">
      <c r="A13" s="218" t="s">
        <v>217</v>
      </c>
      <c r="B13" s="157">
        <v>30000</v>
      </c>
      <c r="C13" s="157">
        <v>25000</v>
      </c>
      <c r="D13" s="159">
        <v>0.9</v>
      </c>
      <c r="E13" s="235">
        <f t="shared" si="0"/>
        <v>22500</v>
      </c>
      <c r="F13" s="155">
        <v>37226</v>
      </c>
      <c r="G13" s="199" t="s">
        <v>180</v>
      </c>
      <c r="H13" s="152">
        <v>15000</v>
      </c>
      <c r="I13" s="152">
        <v>15000</v>
      </c>
      <c r="J13" s="152">
        <v>15000</v>
      </c>
      <c r="K13" s="195">
        <v>15000</v>
      </c>
      <c r="L13" s="235">
        <f t="shared" si="1"/>
        <v>82500</v>
      </c>
      <c r="O13" s="148"/>
      <c r="P13" s="138"/>
      <c r="Q13" s="138"/>
      <c r="AC13" s="139"/>
      <c r="AE13" s="138"/>
    </row>
    <row r="14" spans="1:31" ht="12.75">
      <c r="A14" s="218" t="s">
        <v>218</v>
      </c>
      <c r="B14" s="157">
        <v>50000</v>
      </c>
      <c r="C14" s="157">
        <v>40000</v>
      </c>
      <c r="D14" s="159">
        <v>0.75</v>
      </c>
      <c r="E14" s="235">
        <f t="shared" si="0"/>
        <v>30000</v>
      </c>
      <c r="F14" s="155">
        <v>37043</v>
      </c>
      <c r="G14" s="199" t="s">
        <v>220</v>
      </c>
      <c r="H14" s="152">
        <v>50000</v>
      </c>
      <c r="I14" s="152">
        <v>50000</v>
      </c>
      <c r="J14" s="152">
        <v>50000</v>
      </c>
      <c r="K14" s="195">
        <v>50000</v>
      </c>
      <c r="L14" s="235">
        <f t="shared" si="1"/>
        <v>230000</v>
      </c>
      <c r="O14" s="148"/>
      <c r="P14" s="138"/>
      <c r="Q14" s="138"/>
      <c r="AC14" s="139"/>
      <c r="AE14" s="138"/>
    </row>
    <row r="15" spans="1:31" ht="12.75">
      <c r="A15" s="218" t="s">
        <v>219</v>
      </c>
      <c r="B15" s="157">
        <v>100000</v>
      </c>
      <c r="C15" s="157">
        <v>80000</v>
      </c>
      <c r="D15" s="159">
        <v>0.8</v>
      </c>
      <c r="E15" s="235">
        <f t="shared" si="0"/>
        <v>64000</v>
      </c>
      <c r="F15" s="155">
        <v>37135</v>
      </c>
      <c r="G15" s="199" t="s">
        <v>179</v>
      </c>
      <c r="H15" s="152">
        <v>75000</v>
      </c>
      <c r="I15" s="152">
        <v>75000</v>
      </c>
      <c r="J15" s="152">
        <v>75000</v>
      </c>
      <c r="K15" s="195">
        <v>75000</v>
      </c>
      <c r="L15" s="235">
        <f t="shared" si="1"/>
        <v>364000</v>
      </c>
      <c r="O15" s="148"/>
      <c r="P15" s="138"/>
      <c r="Q15" s="138"/>
      <c r="AC15" s="139"/>
      <c r="AE15" s="138"/>
    </row>
    <row r="16" spans="1:31" ht="12.75">
      <c r="A16" s="218"/>
      <c r="B16" s="157"/>
      <c r="C16" s="157"/>
      <c r="D16" s="159"/>
      <c r="E16" s="235">
        <f t="shared" si="0"/>
        <v>0</v>
      </c>
      <c r="F16" s="155"/>
      <c r="G16" s="155"/>
      <c r="H16" s="152"/>
      <c r="I16" s="152"/>
      <c r="J16" s="152"/>
      <c r="K16" s="195"/>
      <c r="L16" s="235">
        <f t="shared" si="1"/>
        <v>0</v>
      </c>
      <c r="O16" s="148"/>
      <c r="P16" s="138"/>
      <c r="Q16" s="138"/>
      <c r="AC16" s="139"/>
      <c r="AE16" s="138"/>
    </row>
    <row r="17" spans="1:31" ht="12.75">
      <c r="A17" s="218"/>
      <c r="B17" s="157"/>
      <c r="C17" s="157"/>
      <c r="D17" s="159"/>
      <c r="E17" s="235">
        <f t="shared" si="0"/>
        <v>0</v>
      </c>
      <c r="F17" s="155"/>
      <c r="G17" s="155"/>
      <c r="H17" s="152"/>
      <c r="I17" s="152"/>
      <c r="J17" s="152"/>
      <c r="K17" s="195"/>
      <c r="L17" s="235">
        <f t="shared" si="1"/>
        <v>0</v>
      </c>
      <c r="O17" s="148"/>
      <c r="P17" s="138"/>
      <c r="Q17" s="138"/>
      <c r="AC17" s="139"/>
      <c r="AE17" s="138"/>
    </row>
    <row r="18" spans="1:31" ht="12.75">
      <c r="A18" s="218"/>
      <c r="B18" s="157"/>
      <c r="C18" s="157"/>
      <c r="D18" s="159"/>
      <c r="E18" s="235">
        <f t="shared" si="0"/>
        <v>0</v>
      </c>
      <c r="F18" s="155"/>
      <c r="G18" s="155"/>
      <c r="H18" s="152"/>
      <c r="I18" s="152"/>
      <c r="J18" s="152"/>
      <c r="K18" s="195"/>
      <c r="L18" s="235">
        <f t="shared" si="1"/>
        <v>0</v>
      </c>
      <c r="O18" s="148"/>
      <c r="P18" s="138"/>
      <c r="Q18" s="138"/>
      <c r="AC18" s="139"/>
      <c r="AE18" s="138"/>
    </row>
    <row r="19" spans="1:31" ht="12.75">
      <c r="A19" s="218"/>
      <c r="B19" s="157"/>
      <c r="C19" s="157"/>
      <c r="D19" s="159"/>
      <c r="E19" s="235">
        <f t="shared" si="0"/>
        <v>0</v>
      </c>
      <c r="F19" s="155"/>
      <c r="G19" s="155"/>
      <c r="H19" s="152"/>
      <c r="I19" s="152"/>
      <c r="J19" s="152"/>
      <c r="K19" s="195"/>
      <c r="L19" s="235">
        <f t="shared" si="1"/>
        <v>0</v>
      </c>
      <c r="O19" s="148"/>
      <c r="P19" s="138"/>
      <c r="Q19" s="138"/>
      <c r="AC19" s="139"/>
      <c r="AE19" s="138"/>
    </row>
    <row r="20" spans="1:31" ht="12.75">
      <c r="A20" s="218"/>
      <c r="B20" s="157"/>
      <c r="C20" s="157"/>
      <c r="D20" s="159"/>
      <c r="E20" s="235">
        <f t="shared" si="0"/>
        <v>0</v>
      </c>
      <c r="F20" s="155"/>
      <c r="G20" s="155"/>
      <c r="H20" s="152"/>
      <c r="I20" s="152"/>
      <c r="J20" s="152"/>
      <c r="K20" s="195"/>
      <c r="L20" s="235">
        <f t="shared" si="1"/>
        <v>0</v>
      </c>
      <c r="O20" s="148"/>
      <c r="P20" s="138"/>
      <c r="Q20" s="138"/>
      <c r="AC20" s="139"/>
      <c r="AE20" s="138"/>
    </row>
    <row r="21" spans="1:31" ht="12.75">
      <c r="A21" s="218"/>
      <c r="B21" s="157"/>
      <c r="C21" s="157"/>
      <c r="D21" s="159"/>
      <c r="E21" s="235">
        <f t="shared" si="0"/>
        <v>0</v>
      </c>
      <c r="F21" s="155"/>
      <c r="G21" s="155"/>
      <c r="H21" s="152"/>
      <c r="I21" s="152"/>
      <c r="J21" s="152"/>
      <c r="K21" s="195"/>
      <c r="L21" s="235">
        <f t="shared" si="1"/>
        <v>0</v>
      </c>
      <c r="O21" s="148"/>
      <c r="P21" s="138"/>
      <c r="Q21" s="138"/>
      <c r="AC21" s="139"/>
      <c r="AE21" s="138"/>
    </row>
    <row r="22" spans="1:31" ht="12.75">
      <c r="A22" s="218"/>
      <c r="B22" s="157"/>
      <c r="C22" s="157"/>
      <c r="D22" s="159"/>
      <c r="E22" s="235">
        <f t="shared" si="0"/>
        <v>0</v>
      </c>
      <c r="F22" s="155"/>
      <c r="G22" s="155"/>
      <c r="H22" s="152"/>
      <c r="I22" s="152"/>
      <c r="J22" s="152"/>
      <c r="K22" s="195"/>
      <c r="L22" s="235">
        <f t="shared" si="1"/>
        <v>0</v>
      </c>
      <c r="O22" s="148"/>
      <c r="P22" s="138"/>
      <c r="Q22" s="138"/>
      <c r="AC22" s="139"/>
      <c r="AE22" s="138"/>
    </row>
    <row r="23" spans="1:31" ht="12.75">
      <c r="A23" s="218"/>
      <c r="B23" s="157"/>
      <c r="C23" s="157"/>
      <c r="D23" s="159"/>
      <c r="E23" s="235">
        <f t="shared" si="0"/>
        <v>0</v>
      </c>
      <c r="F23" s="155"/>
      <c r="G23" s="155"/>
      <c r="H23" s="152"/>
      <c r="I23" s="152"/>
      <c r="J23" s="152"/>
      <c r="K23" s="195"/>
      <c r="L23" s="235">
        <f t="shared" si="1"/>
        <v>0</v>
      </c>
      <c r="O23" s="148"/>
      <c r="P23" s="138"/>
      <c r="Q23" s="138"/>
      <c r="AC23" s="139"/>
      <c r="AE23" s="138"/>
    </row>
    <row r="24" spans="1:31" ht="12.75">
      <c r="A24" s="218"/>
      <c r="B24" s="157"/>
      <c r="C24" s="157"/>
      <c r="D24" s="159"/>
      <c r="E24" s="235">
        <f t="shared" si="0"/>
        <v>0</v>
      </c>
      <c r="F24" s="155"/>
      <c r="G24" s="155"/>
      <c r="H24" s="152"/>
      <c r="I24" s="152"/>
      <c r="J24" s="152"/>
      <c r="K24" s="195"/>
      <c r="L24" s="235">
        <f t="shared" si="1"/>
        <v>0</v>
      </c>
      <c r="O24" s="148"/>
      <c r="P24" s="138"/>
      <c r="Q24" s="138"/>
      <c r="AC24" s="139"/>
      <c r="AE24" s="138"/>
    </row>
    <row r="25" spans="1:31" ht="12.75">
      <c r="A25" s="218"/>
      <c r="B25" s="157"/>
      <c r="C25" s="157"/>
      <c r="D25" s="159"/>
      <c r="E25" s="235">
        <f t="shared" si="0"/>
        <v>0</v>
      </c>
      <c r="F25" s="155"/>
      <c r="G25" s="155"/>
      <c r="H25" s="152"/>
      <c r="I25" s="152"/>
      <c r="J25" s="152"/>
      <c r="K25" s="195"/>
      <c r="L25" s="235">
        <f t="shared" si="1"/>
        <v>0</v>
      </c>
      <c r="O25" s="148"/>
      <c r="P25" s="138"/>
      <c r="Q25" s="138"/>
      <c r="AC25" s="139"/>
      <c r="AE25" s="138"/>
    </row>
    <row r="26" spans="1:31" ht="12.75">
      <c r="A26" s="218"/>
      <c r="B26" s="157"/>
      <c r="C26" s="157"/>
      <c r="D26" s="159"/>
      <c r="E26" s="235">
        <f t="shared" si="0"/>
        <v>0</v>
      </c>
      <c r="F26" s="155"/>
      <c r="G26" s="155"/>
      <c r="H26" s="152"/>
      <c r="I26" s="152"/>
      <c r="J26" s="152"/>
      <c r="K26" s="195"/>
      <c r="L26" s="235">
        <f t="shared" si="1"/>
        <v>0</v>
      </c>
      <c r="O26" s="148"/>
      <c r="P26" s="138"/>
      <c r="Q26" s="138"/>
      <c r="AC26" s="139"/>
      <c r="AE26" s="138"/>
    </row>
    <row r="27" spans="1:31" ht="12.75">
      <c r="A27" s="218"/>
      <c r="B27" s="157"/>
      <c r="C27" s="157"/>
      <c r="D27" s="159"/>
      <c r="E27" s="235">
        <f t="shared" si="0"/>
        <v>0</v>
      </c>
      <c r="F27" s="155"/>
      <c r="G27" s="155"/>
      <c r="H27" s="152"/>
      <c r="I27" s="152"/>
      <c r="J27" s="152"/>
      <c r="K27" s="195"/>
      <c r="L27" s="235">
        <f t="shared" si="1"/>
        <v>0</v>
      </c>
      <c r="O27" s="148"/>
      <c r="P27" s="138"/>
      <c r="Q27" s="138"/>
      <c r="AC27" s="139"/>
      <c r="AE27" s="138"/>
    </row>
    <row r="28" spans="1:31" ht="12.75">
      <c r="A28" s="218"/>
      <c r="B28" s="157"/>
      <c r="C28" s="157"/>
      <c r="D28" s="159"/>
      <c r="E28" s="235">
        <f t="shared" si="0"/>
        <v>0</v>
      </c>
      <c r="F28" s="155"/>
      <c r="G28" s="155"/>
      <c r="H28" s="152"/>
      <c r="I28" s="152"/>
      <c r="J28" s="152"/>
      <c r="K28" s="195"/>
      <c r="L28" s="235">
        <f t="shared" si="1"/>
        <v>0</v>
      </c>
      <c r="O28" s="148"/>
      <c r="P28" s="138"/>
      <c r="Q28" s="138"/>
      <c r="AC28" s="139"/>
      <c r="AE28" s="138"/>
    </row>
    <row r="29" spans="1:31" ht="13.5" thickBot="1">
      <c r="A29" s="240"/>
      <c r="B29" s="241"/>
      <c r="C29" s="241"/>
      <c r="D29" s="242"/>
      <c r="E29" s="243">
        <f t="shared" si="0"/>
        <v>0</v>
      </c>
      <c r="F29" s="244"/>
      <c r="G29" s="244"/>
      <c r="H29" s="206"/>
      <c r="I29" s="206"/>
      <c r="J29" s="206"/>
      <c r="K29" s="246"/>
      <c r="L29" s="243">
        <f t="shared" si="1"/>
        <v>0</v>
      </c>
      <c r="O29" s="148"/>
      <c r="P29" s="138"/>
      <c r="Q29" s="138"/>
      <c r="AC29" s="139"/>
      <c r="AE29" s="138"/>
    </row>
    <row r="30" spans="1:31" ht="12.75">
      <c r="A30" s="140" t="s">
        <v>157</v>
      </c>
      <c r="B30" s="229">
        <f>SUM(B11:B29)</f>
        <v>210000</v>
      </c>
      <c r="C30" s="229">
        <f>SUM(C11:C29)</f>
        <v>170000</v>
      </c>
      <c r="D30" s="229"/>
      <c r="E30" s="229">
        <f>SUM(E11:E29)</f>
        <v>138500</v>
      </c>
      <c r="F30" s="229"/>
      <c r="G30" s="229"/>
      <c r="H30" s="229">
        <f>SUM(H11:H29)</f>
        <v>170000</v>
      </c>
      <c r="I30" s="229">
        <f>SUM(I11:I29)</f>
        <v>170000</v>
      </c>
      <c r="J30" s="229">
        <f>SUM(J11:J29)</f>
        <v>170000</v>
      </c>
      <c r="K30" s="229">
        <f>SUM(K11:K29)</f>
        <v>170000</v>
      </c>
      <c r="L30" s="229">
        <f>SUM(L11:L29)</f>
        <v>818500</v>
      </c>
      <c r="O30" s="148"/>
      <c r="P30" s="138"/>
      <c r="Q30" s="138"/>
      <c r="AC30" s="139"/>
      <c r="AE30" s="138"/>
    </row>
    <row r="31" spans="1:31" ht="12.75">
      <c r="A31" s="168"/>
      <c r="B31" s="169"/>
      <c r="C31" s="169"/>
      <c r="D31" s="170"/>
      <c r="E31" s="171"/>
      <c r="F31" s="172"/>
      <c r="G31" s="172"/>
      <c r="H31" s="91"/>
      <c r="P31" s="148"/>
      <c r="Q31" s="138"/>
      <c r="AD31" s="139"/>
      <c r="AE31" s="138"/>
    </row>
    <row r="32" spans="1:31" ht="12.75">
      <c r="A32" s="168"/>
      <c r="B32" s="169"/>
      <c r="C32" s="169"/>
      <c r="D32" s="170"/>
      <c r="E32" s="171"/>
      <c r="F32" s="172"/>
      <c r="G32" s="172"/>
      <c r="H32" s="91"/>
      <c r="P32" s="138"/>
      <c r="Q32" s="138"/>
      <c r="AE32" s="138"/>
    </row>
    <row r="33" spans="1:31" ht="12.75">
      <c r="A33" s="168"/>
      <c r="B33" s="169"/>
      <c r="C33" s="169"/>
      <c r="D33" s="170"/>
      <c r="E33" s="171"/>
      <c r="F33" s="172"/>
      <c r="G33" s="172"/>
      <c r="H33" s="91"/>
      <c r="P33" s="138"/>
      <c r="Q33" s="138"/>
      <c r="AE33" s="138"/>
    </row>
    <row r="34" spans="1:8" ht="12.75">
      <c r="A34" s="168"/>
      <c r="B34" s="169"/>
      <c r="C34" s="169"/>
      <c r="D34" s="170"/>
      <c r="E34" s="171"/>
      <c r="F34" s="172"/>
      <c r="G34" s="172"/>
      <c r="H34" s="91"/>
    </row>
    <row r="35" spans="1:8" ht="12.75">
      <c r="A35" s="119"/>
      <c r="B35" s="173"/>
      <c r="C35" s="173"/>
      <c r="D35" s="173"/>
      <c r="E35" s="173"/>
      <c r="F35" s="173"/>
      <c r="G35" s="173"/>
      <c r="H35" s="91"/>
    </row>
    <row r="36" spans="1:8" ht="12.75">
      <c r="A36" s="119"/>
      <c r="B36" s="119"/>
      <c r="C36" s="174"/>
      <c r="D36" s="119"/>
      <c r="E36" s="119"/>
      <c r="F36" s="119"/>
      <c r="G36" s="119"/>
      <c r="H36" s="91"/>
    </row>
    <row r="37" spans="1:8" ht="12.75">
      <c r="A37" s="164"/>
      <c r="B37" s="165"/>
      <c r="C37" s="165"/>
      <c r="D37" s="166"/>
      <c r="E37" s="165"/>
      <c r="F37" s="167"/>
      <c r="G37" s="167"/>
      <c r="H37" s="91"/>
    </row>
    <row r="38" spans="1:8" ht="12.75">
      <c r="A38" s="164"/>
      <c r="B38" s="165"/>
      <c r="C38" s="165"/>
      <c r="D38" s="166"/>
      <c r="E38" s="165"/>
      <c r="F38" s="167"/>
      <c r="G38" s="167"/>
      <c r="H38" s="91"/>
    </row>
    <row r="39" spans="1:8" ht="12.75">
      <c r="A39" s="168"/>
      <c r="B39" s="169"/>
      <c r="C39" s="169"/>
      <c r="D39" s="170"/>
      <c r="E39" s="171"/>
      <c r="F39" s="172"/>
      <c r="G39" s="172"/>
      <c r="H39" s="91"/>
    </row>
    <row r="40" spans="1:8" ht="12.75">
      <c r="A40" s="168"/>
      <c r="B40" s="169"/>
      <c r="C40" s="169"/>
      <c r="D40" s="170"/>
      <c r="E40" s="171"/>
      <c r="F40" s="172"/>
      <c r="G40" s="172"/>
      <c r="H40" s="91"/>
    </row>
    <row r="41" spans="1:8" ht="12.75">
      <c r="A41" s="168"/>
      <c r="B41" s="169"/>
      <c r="C41" s="169"/>
      <c r="D41" s="170"/>
      <c r="E41" s="171"/>
      <c r="F41" s="172"/>
      <c r="G41" s="172"/>
      <c r="H41" s="91"/>
    </row>
    <row r="42" spans="1:8" ht="12.75">
      <c r="A42" s="168"/>
      <c r="B42" s="169"/>
      <c r="C42" s="169"/>
      <c r="D42" s="170"/>
      <c r="E42" s="171"/>
      <c r="F42" s="172"/>
      <c r="G42" s="172"/>
      <c r="H42" s="91"/>
    </row>
    <row r="43" spans="1:8" ht="12.75">
      <c r="A43" s="119"/>
      <c r="B43" s="173"/>
      <c r="C43" s="173"/>
      <c r="D43" s="173"/>
      <c r="E43" s="173"/>
      <c r="F43" s="173"/>
      <c r="G43" s="173"/>
      <c r="H43" s="91"/>
    </row>
    <row r="44" spans="1:8" ht="12.75">
      <c r="A44" s="119"/>
      <c r="B44" s="119"/>
      <c r="C44" s="174"/>
      <c r="D44" s="119"/>
      <c r="E44" s="119"/>
      <c r="F44" s="119"/>
      <c r="G44" s="119"/>
      <c r="H44" s="91"/>
    </row>
    <row r="45" spans="1:8" ht="12.75">
      <c r="A45" s="164"/>
      <c r="B45" s="165"/>
      <c r="C45" s="165"/>
      <c r="D45" s="166"/>
      <c r="E45" s="165"/>
      <c r="F45" s="167"/>
      <c r="G45" s="167"/>
      <c r="H45" s="91"/>
    </row>
    <row r="46" spans="1:8" ht="12.75">
      <c r="A46" s="164"/>
      <c r="B46" s="165"/>
      <c r="C46" s="165"/>
      <c r="D46" s="166"/>
      <c r="E46" s="165"/>
      <c r="F46" s="167"/>
      <c r="G46" s="167"/>
      <c r="H46" s="91"/>
    </row>
    <row r="47" spans="1:8" ht="12.75">
      <c r="A47" s="168"/>
      <c r="B47" s="169"/>
      <c r="C47" s="169"/>
      <c r="D47" s="170"/>
      <c r="E47" s="171"/>
      <c r="F47" s="172"/>
      <c r="G47" s="172"/>
      <c r="H47" s="91"/>
    </row>
    <row r="48" spans="1:8" ht="12.75">
      <c r="A48" s="168"/>
      <c r="B48" s="169"/>
      <c r="C48" s="169"/>
      <c r="D48" s="170"/>
      <c r="E48" s="171"/>
      <c r="F48" s="172"/>
      <c r="G48" s="172"/>
      <c r="H48" s="91"/>
    </row>
    <row r="49" spans="1:8" ht="12.75">
      <c r="A49" s="168"/>
      <c r="B49" s="169"/>
      <c r="C49" s="169"/>
      <c r="D49" s="170"/>
      <c r="E49" s="171"/>
      <c r="F49" s="172"/>
      <c r="G49" s="172"/>
      <c r="H49" s="91"/>
    </row>
    <row r="50" spans="1:8" ht="12.75">
      <c r="A50" s="168"/>
      <c r="B50" s="169"/>
      <c r="C50" s="169"/>
      <c r="D50" s="170"/>
      <c r="E50" s="171"/>
      <c r="F50" s="172"/>
      <c r="G50" s="172"/>
      <c r="H50" s="91"/>
    </row>
    <row r="51" spans="1:8" ht="12.75">
      <c r="A51" s="168"/>
      <c r="B51" s="169"/>
      <c r="C51" s="169"/>
      <c r="D51" s="170"/>
      <c r="E51" s="171"/>
      <c r="F51" s="172"/>
      <c r="G51" s="172"/>
      <c r="H51" s="91"/>
    </row>
    <row r="52" spans="1:8" ht="12.75">
      <c r="A52" s="119"/>
      <c r="B52" s="173"/>
      <c r="C52" s="173"/>
      <c r="D52" s="173"/>
      <c r="E52" s="173"/>
      <c r="F52" s="173"/>
      <c r="G52" s="173"/>
      <c r="H52" s="91"/>
    </row>
  </sheetData>
  <sheetProtection sheet="1" objects="1" scenarios="1"/>
  <printOptions/>
  <pageMargins left="0.5" right="0.54" top="0.5" bottom="0.6" header="0.5" footer="0.5"/>
  <pageSetup firstPageNumber="8" useFirstPageNumber="1" fitToHeight="1" fitToWidth="1" horizontalDpi="300" verticalDpi="300" orientation="portrait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1">
    <pageSetUpPr fitToPage="1"/>
  </sheetPr>
  <dimension ref="A1:Y1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3.28125" style="2" customWidth="1"/>
    <col min="2" max="2" width="20.140625" style="2" customWidth="1"/>
    <col min="3" max="3" width="16.421875" style="2" customWidth="1"/>
    <col min="4" max="4" width="17.8515625" style="2" customWidth="1"/>
    <col min="5" max="5" width="17.28125" style="2" customWidth="1"/>
    <col min="6" max="6" width="16.421875" style="2" customWidth="1"/>
    <col min="7" max="7" width="10.57421875" style="2" customWidth="1"/>
    <col min="8" max="8" width="11.7109375" style="2" customWidth="1"/>
    <col min="9" max="9" width="11.00390625" style="2" customWidth="1"/>
    <col min="10" max="13" width="10.7109375" style="66" customWidth="1"/>
    <col min="14" max="14" width="10.57421875" style="66" customWidth="1"/>
    <col min="15" max="16384" width="9.140625" style="2" customWidth="1"/>
  </cols>
  <sheetData>
    <row r="1" spans="2:6" ht="12.75">
      <c r="B1" s="15"/>
      <c r="C1" s="15"/>
      <c r="D1" s="15"/>
      <c r="F1" s="15"/>
    </row>
    <row r="2" spans="1:14" s="34" customFormat="1" ht="12.75">
      <c r="A2" s="15" t="s">
        <v>192</v>
      </c>
      <c r="B2" s="144" t="s">
        <v>153</v>
      </c>
      <c r="C2" s="144" t="s">
        <v>176</v>
      </c>
      <c r="D2" s="144" t="str">
        <f>'Chart of Accounts'!B7</f>
        <v>Monthly Giving</v>
      </c>
      <c r="E2" s="144" t="str">
        <f>'Chart of Accounts'!B11</f>
        <v>Workplace Giving</v>
      </c>
      <c r="F2" s="144" t="str">
        <f>'Chart of Accounts'!B15</f>
        <v>Other Income</v>
      </c>
      <c r="G2" s="71" t="s">
        <v>46</v>
      </c>
      <c r="H2" s="15" t="s">
        <v>100</v>
      </c>
      <c r="I2" s="15" t="s">
        <v>101</v>
      </c>
      <c r="J2" s="207"/>
      <c r="K2" s="207"/>
      <c r="L2" s="207"/>
      <c r="M2" s="207"/>
      <c r="N2" s="207"/>
    </row>
    <row r="3" spans="1:25" ht="12.75">
      <c r="A3" s="21" t="s">
        <v>193</v>
      </c>
      <c r="B3" s="189" t="s">
        <v>186</v>
      </c>
      <c r="C3" s="210">
        <v>37043</v>
      </c>
      <c r="D3" s="151"/>
      <c r="E3" s="151"/>
      <c r="F3" s="151">
        <v>15000</v>
      </c>
      <c r="G3" s="231">
        <f>SUM(D3:F3)</f>
        <v>15000</v>
      </c>
      <c r="H3" s="151"/>
      <c r="I3" s="231">
        <f aca="true" t="shared" si="0" ref="I3:I12">G3-H3</f>
        <v>15000</v>
      </c>
      <c r="J3" s="57"/>
      <c r="K3" s="57"/>
      <c r="L3" s="57"/>
      <c r="M3" s="57"/>
      <c r="N3" s="5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2.75">
      <c r="A4" s="21" t="s">
        <v>30</v>
      </c>
      <c r="B4" s="189" t="s">
        <v>186</v>
      </c>
      <c r="C4" s="191" t="s">
        <v>178</v>
      </c>
      <c r="D4" s="152">
        <v>600</v>
      </c>
      <c r="E4" s="152"/>
      <c r="F4" s="152"/>
      <c r="G4" s="232">
        <f aca="true" t="shared" si="1" ref="G4:G12">SUM(D4:F4)</f>
        <v>600</v>
      </c>
      <c r="H4" s="152"/>
      <c r="I4" s="232">
        <f t="shared" si="0"/>
        <v>600</v>
      </c>
      <c r="J4" s="57"/>
      <c r="K4" s="57"/>
      <c r="L4" s="57"/>
      <c r="M4" s="57"/>
      <c r="N4" s="57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>
      <c r="A5" s="21" t="s">
        <v>194</v>
      </c>
      <c r="B5" s="189" t="s">
        <v>186</v>
      </c>
      <c r="C5" s="191">
        <v>37104</v>
      </c>
      <c r="D5" s="152"/>
      <c r="E5" s="152">
        <v>3000</v>
      </c>
      <c r="F5" s="152"/>
      <c r="G5" s="232">
        <f t="shared" si="1"/>
        <v>3000</v>
      </c>
      <c r="H5" s="152"/>
      <c r="I5" s="232">
        <f t="shared" si="0"/>
        <v>3000</v>
      </c>
      <c r="J5" s="57"/>
      <c r="K5" s="57"/>
      <c r="L5" s="57"/>
      <c r="M5" s="57"/>
      <c r="N5" s="57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21" t="s">
        <v>195</v>
      </c>
      <c r="B6" s="189" t="s">
        <v>212</v>
      </c>
      <c r="C6" s="191">
        <v>37012</v>
      </c>
      <c r="D6" s="152"/>
      <c r="E6" s="152"/>
      <c r="F6" s="152">
        <v>3000</v>
      </c>
      <c r="G6" s="232">
        <f t="shared" si="1"/>
        <v>3000</v>
      </c>
      <c r="H6" s="152"/>
      <c r="I6" s="232">
        <f t="shared" si="0"/>
        <v>3000</v>
      </c>
      <c r="J6" s="57"/>
      <c r="K6" s="57"/>
      <c r="L6" s="57"/>
      <c r="M6" s="57"/>
      <c r="N6" s="5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1" t="s">
        <v>193</v>
      </c>
      <c r="B7" s="189" t="s">
        <v>186</v>
      </c>
      <c r="C7" s="75">
        <v>2002</v>
      </c>
      <c r="D7" s="152"/>
      <c r="E7" s="152"/>
      <c r="F7" s="152">
        <v>17500</v>
      </c>
      <c r="G7" s="232">
        <f t="shared" si="1"/>
        <v>17500</v>
      </c>
      <c r="H7" s="152"/>
      <c r="I7" s="232">
        <f t="shared" si="0"/>
        <v>17500</v>
      </c>
      <c r="J7" s="57"/>
      <c r="K7" s="57"/>
      <c r="L7" s="57"/>
      <c r="M7" s="57"/>
      <c r="N7" s="5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2.75">
      <c r="A8" s="21" t="s">
        <v>195</v>
      </c>
      <c r="B8" s="189" t="s">
        <v>186</v>
      </c>
      <c r="C8" s="75">
        <v>2004</v>
      </c>
      <c r="D8" s="152"/>
      <c r="E8" s="152"/>
      <c r="F8" s="152"/>
      <c r="G8" s="232">
        <f t="shared" si="1"/>
        <v>0</v>
      </c>
      <c r="H8" s="152"/>
      <c r="I8" s="232">
        <f t="shared" si="0"/>
        <v>0</v>
      </c>
      <c r="J8" s="57"/>
      <c r="K8" s="57"/>
      <c r="L8" s="57"/>
      <c r="M8" s="57"/>
      <c r="N8" s="5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>
      <c r="A9" s="21"/>
      <c r="B9" s="189"/>
      <c r="C9" s="75"/>
      <c r="D9" s="152"/>
      <c r="E9" s="152"/>
      <c r="F9" s="152"/>
      <c r="G9" s="232">
        <f t="shared" si="1"/>
        <v>0</v>
      </c>
      <c r="H9" s="152"/>
      <c r="I9" s="232">
        <f t="shared" si="0"/>
        <v>0</v>
      </c>
      <c r="J9" s="57"/>
      <c r="K9" s="57"/>
      <c r="L9" s="57"/>
      <c r="M9" s="57"/>
      <c r="N9" s="5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21"/>
      <c r="B10" s="189"/>
      <c r="C10" s="75"/>
      <c r="D10" s="152"/>
      <c r="E10" s="152"/>
      <c r="F10" s="152"/>
      <c r="G10" s="232">
        <f t="shared" si="1"/>
        <v>0</v>
      </c>
      <c r="H10" s="152"/>
      <c r="I10" s="232">
        <f t="shared" si="0"/>
        <v>0</v>
      </c>
      <c r="J10" s="57"/>
      <c r="K10" s="57"/>
      <c r="L10" s="57"/>
      <c r="M10" s="57"/>
      <c r="N10" s="57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21"/>
      <c r="B11" s="189"/>
      <c r="C11" s="75"/>
      <c r="D11" s="152"/>
      <c r="E11" s="152"/>
      <c r="F11" s="152"/>
      <c r="G11" s="232">
        <f t="shared" si="1"/>
        <v>0</v>
      </c>
      <c r="H11" s="152"/>
      <c r="I11" s="232">
        <f t="shared" si="0"/>
        <v>0</v>
      </c>
      <c r="J11" s="57"/>
      <c r="K11" s="57"/>
      <c r="L11" s="57"/>
      <c r="M11" s="57"/>
      <c r="N11" s="5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3.5" thickBot="1">
      <c r="A12" s="70"/>
      <c r="B12" s="190"/>
      <c r="C12" s="205"/>
      <c r="D12" s="206"/>
      <c r="E12" s="206"/>
      <c r="F12" s="206"/>
      <c r="G12" s="236">
        <f t="shared" si="1"/>
        <v>0</v>
      </c>
      <c r="H12" s="206"/>
      <c r="I12" s="236">
        <f t="shared" si="0"/>
        <v>0</v>
      </c>
      <c r="J12" s="230"/>
      <c r="K12" s="230"/>
      <c r="L12" s="230"/>
      <c r="M12" s="230"/>
      <c r="N12" s="230"/>
      <c r="O12" s="116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4" customFormat="1" ht="15">
      <c r="A13" s="4" t="s">
        <v>46</v>
      </c>
      <c r="D13" s="67"/>
      <c r="E13" s="67"/>
      <c r="F13" s="67"/>
      <c r="G13" s="228">
        <f>SUM(G3:G12)</f>
        <v>39100</v>
      </c>
      <c r="H13" s="228">
        <f>SUM(H3:H12)</f>
        <v>0</v>
      </c>
      <c r="I13" s="228">
        <f>SUM(I3:I12)</f>
        <v>39100</v>
      </c>
      <c r="J13" s="150"/>
      <c r="K13" s="150"/>
      <c r="L13" s="150"/>
      <c r="M13" s="150"/>
      <c r="N13" s="150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7:25" ht="12.75">
      <c r="G14" s="12"/>
      <c r="H14" s="12"/>
      <c r="I14" s="12"/>
      <c r="J14" s="57"/>
      <c r="K14" s="57"/>
      <c r="L14" s="57"/>
      <c r="M14" s="57"/>
      <c r="N14" s="5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5" ht="12.75">
      <c r="B15" s="71"/>
      <c r="C15" s="71"/>
      <c r="D15" s="71"/>
      <c r="E15" s="71"/>
      <c r="F15" s="71"/>
      <c r="G15" s="71"/>
      <c r="H15" s="71"/>
      <c r="I15" s="71"/>
      <c r="J15" s="208"/>
      <c r="K15" s="208"/>
      <c r="L15" s="208"/>
      <c r="M15" s="208"/>
      <c r="N15" s="208"/>
      <c r="O15" s="71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2:15" ht="12.75">
      <c r="B16" s="72"/>
      <c r="C16" s="72"/>
      <c r="D16" s="72"/>
      <c r="E16" s="72"/>
      <c r="F16" s="72"/>
      <c r="G16" s="72"/>
      <c r="H16" s="72"/>
      <c r="I16" s="72"/>
      <c r="J16" s="209"/>
      <c r="K16" s="209"/>
      <c r="L16" s="209"/>
      <c r="M16" s="209"/>
      <c r="N16" s="209"/>
      <c r="O16" s="72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A72"/>
  <sheetViews>
    <sheetView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2.57421875" style="2" customWidth="1"/>
    <col min="2" max="2" width="15.8515625" style="2" customWidth="1"/>
    <col min="3" max="3" width="7.7109375" style="2" customWidth="1"/>
    <col min="4" max="7" width="11.7109375" style="2" customWidth="1"/>
    <col min="8" max="8" width="13.8515625" style="2" customWidth="1"/>
    <col min="9" max="12" width="11.7109375" style="2" customWidth="1"/>
    <col min="13" max="13" width="12.8515625" style="2" customWidth="1"/>
    <col min="14" max="14" width="13.28125" style="2" customWidth="1"/>
    <col min="15" max="15" width="12.00390625" style="2" customWidth="1"/>
    <col min="16" max="16" width="16.7109375" style="2" customWidth="1"/>
    <col min="17" max="17" width="10.7109375" style="2" customWidth="1"/>
    <col min="18" max="21" width="12.421875" style="2" customWidth="1"/>
    <col min="22" max="22" width="10.7109375" style="2" customWidth="1"/>
    <col min="23" max="23" width="12.57421875" style="2" customWidth="1"/>
    <col min="24" max="26" width="10.7109375" style="2" customWidth="1"/>
    <col min="27" max="27" width="11.8515625" style="2" customWidth="1"/>
    <col min="28" max="16384" width="9.140625" style="2" customWidth="1"/>
  </cols>
  <sheetData>
    <row r="1" ht="12.75">
      <c r="A1" s="92" t="s">
        <v>153</v>
      </c>
    </row>
    <row r="2" spans="1:22" ht="12.75">
      <c r="A2" s="215" t="s">
        <v>186</v>
      </c>
      <c r="B2" s="15"/>
      <c r="D2" s="34" t="str">
        <f>'Conservation Program'!$B$2</f>
        <v>Protection</v>
      </c>
      <c r="E2" s="34" t="str">
        <f>'Conservation Program'!$C$2</f>
        <v>Stewardship</v>
      </c>
      <c r="F2" s="34" t="str">
        <f>'Conservation Program'!$D$2</f>
        <v>Monitoring</v>
      </c>
      <c r="G2" s="34" t="str">
        <f>'Outreach Program'!$B$2</f>
        <v>Landowner</v>
      </c>
      <c r="H2" s="34" t="str">
        <f>'Outreach Program'!$C$2</f>
        <v>Public</v>
      </c>
      <c r="I2" s="213" t="str">
        <f>'Outreach Program'!$D$2</f>
        <v>Networking</v>
      </c>
      <c r="J2" s="34" t="str">
        <f>'Outreach Program'!$E$2</f>
        <v>Advocacy</v>
      </c>
      <c r="K2" s="34" t="str">
        <f>'Development Program'!$B$2</f>
        <v>Major Donors</v>
      </c>
      <c r="L2" s="34" t="str">
        <f>'Development Program'!$C$2</f>
        <v>Membership</v>
      </c>
      <c r="M2" s="34" t="str">
        <f>'Development Program'!$D$2</f>
        <v>Contributions</v>
      </c>
      <c r="N2" s="34" t="str">
        <f>'Development Program'!$E$2</f>
        <v>Grants</v>
      </c>
      <c r="O2" s="34" t="str">
        <f>'Development Program'!$F$2</f>
        <v>Misc. Dev.</v>
      </c>
      <c r="P2" s="34" t="str">
        <f>'Administration Program'!$B$2</f>
        <v>Bd. Dev./ Mgt.</v>
      </c>
      <c r="Q2" s="34" t="str">
        <f>'Administration Program'!$C$2</f>
        <v>Staff Dev.</v>
      </c>
      <c r="R2" s="34" t="str">
        <f>'Administration Program'!$D$2</f>
        <v>Gen. Admin.</v>
      </c>
      <c r="S2" s="34" t="str">
        <f>'Capital Budget'!$B$2</f>
        <v>Waterfall</v>
      </c>
      <c r="T2" s="34" t="str">
        <f>'Capital Budget'!$C$2</f>
        <v>Lookout</v>
      </c>
      <c r="U2" s="34" t="str">
        <f>'Capital Budget'!$D$2</f>
        <v>Bluff</v>
      </c>
      <c r="V2" s="34"/>
    </row>
    <row r="3" ht="12.75">
      <c r="B3" s="34"/>
    </row>
    <row r="4" spans="1:21" ht="12.75">
      <c r="A4" s="15" t="s">
        <v>161</v>
      </c>
      <c r="B4" s="15">
        <f>'Chart of Accounts'!E15</f>
        <v>2001</v>
      </c>
      <c r="D4" s="11">
        <f>'Conservation Program'!B64</f>
        <v>29127.916051973792</v>
      </c>
      <c r="E4" s="11">
        <f>'Conservation Program'!C64</f>
        <v>82625.3189728471</v>
      </c>
      <c r="F4" s="11">
        <f>'Conservation Program'!D64</f>
        <v>-15386.943821930989</v>
      </c>
      <c r="G4" s="11">
        <f>'Outreach Program'!B64</f>
        <v>18922.239952407086</v>
      </c>
      <c r="H4" s="11">
        <f>'Outreach Program'!C64</f>
        <v>-34174.31592959512</v>
      </c>
      <c r="I4" s="11">
        <f>'Outreach Program'!D64</f>
        <v>-31786.966699987217</v>
      </c>
      <c r="J4" s="11">
        <f>'Outreach Program'!E64</f>
        <v>-19559.509746955737</v>
      </c>
      <c r="K4" s="11">
        <f>'Development Program'!B64</f>
        <v>-11800.031762962599</v>
      </c>
      <c r="L4" s="11">
        <f>'Development Program'!C64</f>
        <v>59277.30151543474</v>
      </c>
      <c r="M4" s="11">
        <f>'Development Program'!D64</f>
        <v>17297.301515434734</v>
      </c>
      <c r="N4" s="11">
        <f>'Development Program'!E64</f>
        <v>-14502.698484565266</v>
      </c>
      <c r="O4" s="11">
        <f>'Development Program'!F64</f>
        <v>-14502.698484565266</v>
      </c>
      <c r="P4" s="11">
        <f>'Administration Program'!B64</f>
        <v>-6575.490593937038</v>
      </c>
      <c r="Q4" s="11">
        <f>'Administration Program'!C64</f>
        <v>-8962.893514810341</v>
      </c>
      <c r="R4" s="11">
        <f>'Administration Program'!D64</f>
        <v>-6139.907247185168</v>
      </c>
      <c r="S4" s="11">
        <f>'Capital Budget'!B64</f>
        <v>35500</v>
      </c>
      <c r="T4" s="11">
        <f>'Capital Budget'!C64</f>
        <v>-1750</v>
      </c>
      <c r="U4" s="11">
        <f>'Capital Budget'!D64</f>
        <v>-52000</v>
      </c>
    </row>
    <row r="5" spans="1:2" ht="12.75">
      <c r="A5" s="15"/>
      <c r="B5" s="15"/>
    </row>
    <row r="6" spans="1:2" ht="12.75">
      <c r="A6" s="15"/>
      <c r="B6" s="15"/>
    </row>
    <row r="7" spans="1:2" ht="12.75">
      <c r="A7" s="15"/>
      <c r="B7" s="15"/>
    </row>
    <row r="8" spans="1:2" ht="12.75">
      <c r="A8" s="15"/>
      <c r="B8" s="17" t="s">
        <v>167</v>
      </c>
    </row>
    <row r="9" spans="1:2" ht="12.75">
      <c r="A9" s="74" t="s">
        <v>184</v>
      </c>
      <c r="B9" s="247">
        <v>0.008</v>
      </c>
    </row>
    <row r="10" spans="1:2" ht="12.75">
      <c r="A10" s="75" t="s">
        <v>185</v>
      </c>
      <c r="B10" s="248">
        <v>0.055</v>
      </c>
    </row>
    <row r="11" spans="1:2" ht="12.75">
      <c r="A11" s="76" t="s">
        <v>168</v>
      </c>
      <c r="B11" s="249">
        <v>0.1</v>
      </c>
    </row>
    <row r="12" spans="1:2" ht="12.75">
      <c r="A12" s="15"/>
      <c r="B12" s="15"/>
    </row>
    <row r="13" spans="2:21" ht="12.75">
      <c r="B13" s="17" t="s">
        <v>169</v>
      </c>
      <c r="D13" s="34" t="s">
        <v>170</v>
      </c>
      <c r="E13" s="34" t="s">
        <v>170</v>
      </c>
      <c r="F13" s="34" t="s">
        <v>170</v>
      </c>
      <c r="G13" s="34" t="s">
        <v>170</v>
      </c>
      <c r="H13" s="34" t="s">
        <v>170</v>
      </c>
      <c r="I13" s="34" t="s">
        <v>170</v>
      </c>
      <c r="J13" s="34" t="s">
        <v>170</v>
      </c>
      <c r="K13" s="34" t="s">
        <v>170</v>
      </c>
      <c r="L13" s="34" t="s">
        <v>170</v>
      </c>
      <c r="M13" s="34" t="s">
        <v>170</v>
      </c>
      <c r="N13" s="34" t="s">
        <v>170</v>
      </c>
      <c r="O13" s="34" t="s">
        <v>170</v>
      </c>
      <c r="P13" s="34" t="s">
        <v>170</v>
      </c>
      <c r="Q13" s="34" t="s">
        <v>170</v>
      </c>
      <c r="R13" s="34" t="s">
        <v>170</v>
      </c>
      <c r="S13" s="34" t="s">
        <v>170</v>
      </c>
      <c r="T13" s="34" t="s">
        <v>170</v>
      </c>
      <c r="U13" s="34" t="s">
        <v>170</v>
      </c>
    </row>
    <row r="14" spans="1:21" ht="12.75">
      <c r="A14" s="2" t="str">
        <f>A9</f>
        <v>Checking</v>
      </c>
      <c r="B14" s="250">
        <v>35000</v>
      </c>
      <c r="C14" s="178">
        <f>SUM(D14:P14)</f>
        <v>1</v>
      </c>
      <c r="D14" s="61"/>
      <c r="E14" s="61"/>
      <c r="F14" s="61"/>
      <c r="G14" s="61"/>
      <c r="H14" s="61"/>
      <c r="I14" s="61"/>
      <c r="J14" s="61"/>
      <c r="K14" s="61">
        <v>1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2.75">
      <c r="A15" s="2" t="str">
        <f>A10</f>
        <v>Money Market</v>
      </c>
      <c r="B15" s="252">
        <v>30000</v>
      </c>
      <c r="C15" s="178">
        <f>SUM(D15:P15)</f>
        <v>1</v>
      </c>
      <c r="D15" s="61"/>
      <c r="E15" s="61"/>
      <c r="F15" s="61"/>
      <c r="G15" s="61"/>
      <c r="H15" s="61"/>
      <c r="I15" s="61">
        <v>0.35</v>
      </c>
      <c r="J15" s="61">
        <v>0.35</v>
      </c>
      <c r="K15" s="61">
        <v>0.3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7" spans="1:21" ht="12.75">
      <c r="A17" s="4" t="str">
        <f>A11</f>
        <v>Community Foundation</v>
      </c>
      <c r="B17" s="17" t="s">
        <v>169</v>
      </c>
      <c r="D17" s="34" t="s">
        <v>170</v>
      </c>
      <c r="E17" s="34" t="s">
        <v>170</v>
      </c>
      <c r="F17" s="34" t="s">
        <v>170</v>
      </c>
      <c r="G17" s="34" t="s">
        <v>170</v>
      </c>
      <c r="H17" s="34" t="s">
        <v>170</v>
      </c>
      <c r="I17" s="34" t="s">
        <v>170</v>
      </c>
      <c r="J17" s="34" t="s">
        <v>170</v>
      </c>
      <c r="K17" s="34" t="s">
        <v>170</v>
      </c>
      <c r="L17" s="34" t="s">
        <v>170</v>
      </c>
      <c r="M17" s="34" t="s">
        <v>170</v>
      </c>
      <c r="N17" s="34" t="s">
        <v>170</v>
      </c>
      <c r="O17" s="34" t="s">
        <v>170</v>
      </c>
      <c r="P17" s="34" t="s">
        <v>170</v>
      </c>
      <c r="Q17" s="34" t="s">
        <v>170</v>
      </c>
      <c r="R17" s="34" t="s">
        <v>170</v>
      </c>
      <c r="S17" s="34" t="s">
        <v>170</v>
      </c>
      <c r="T17" s="34" t="s">
        <v>170</v>
      </c>
      <c r="U17" s="34" t="s">
        <v>170</v>
      </c>
    </row>
    <row r="18" spans="1:21" ht="12.75">
      <c r="A18" s="74" t="s">
        <v>171</v>
      </c>
      <c r="B18" s="250">
        <v>500000</v>
      </c>
      <c r="C18" s="178">
        <f>SUM(D18:P18)</f>
        <v>1</v>
      </c>
      <c r="D18" s="61"/>
      <c r="E18" s="61"/>
      <c r="F18" s="61"/>
      <c r="G18" s="61"/>
      <c r="H18" s="61"/>
      <c r="I18" s="61"/>
      <c r="J18" s="61"/>
      <c r="K18" s="61">
        <v>0.2</v>
      </c>
      <c r="L18" s="61">
        <v>0.8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75">
      <c r="A19" s="76" t="s">
        <v>172</v>
      </c>
      <c r="B19" s="252">
        <v>200000</v>
      </c>
      <c r="C19" s="178">
        <f>SUM(D19:P19)</f>
        <v>1</v>
      </c>
      <c r="D19" s="61"/>
      <c r="E19" s="61">
        <v>0</v>
      </c>
      <c r="F19" s="61"/>
      <c r="G19" s="61"/>
      <c r="H19" s="61"/>
      <c r="I19" s="61"/>
      <c r="J19" s="61"/>
      <c r="K19" s="61"/>
      <c r="L19" s="61">
        <v>1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66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</row>
    <row r="21" spans="3:21" ht="12.75">
      <c r="C21" s="57"/>
      <c r="D21" s="34" t="s">
        <v>170</v>
      </c>
      <c r="E21" s="34" t="s">
        <v>170</v>
      </c>
      <c r="F21" s="34" t="s">
        <v>170</v>
      </c>
      <c r="G21" s="34" t="s">
        <v>170</v>
      </c>
      <c r="H21" s="34" t="s">
        <v>170</v>
      </c>
      <c r="I21" s="34" t="s">
        <v>170</v>
      </c>
      <c r="J21" s="34" t="s">
        <v>170</v>
      </c>
      <c r="K21" s="34" t="s">
        <v>170</v>
      </c>
      <c r="L21" s="34" t="s">
        <v>170</v>
      </c>
      <c r="M21" s="34" t="s">
        <v>170</v>
      </c>
      <c r="N21" s="34" t="s">
        <v>170</v>
      </c>
      <c r="O21" s="34" t="s">
        <v>170</v>
      </c>
      <c r="P21" s="34" t="s">
        <v>170</v>
      </c>
      <c r="Q21" s="34" t="s">
        <v>170</v>
      </c>
      <c r="R21" s="34" t="s">
        <v>170</v>
      </c>
      <c r="S21" s="34" t="s">
        <v>170</v>
      </c>
      <c r="T21" s="34" t="s">
        <v>170</v>
      </c>
      <c r="U21" s="34" t="s">
        <v>170</v>
      </c>
    </row>
    <row r="22" spans="1:21" ht="12.75">
      <c r="A22" s="2" t="str">
        <f>'Chart of Accounts'!B3</f>
        <v>Memberships/Contributions</v>
      </c>
      <c r="C22" s="178">
        <f>SUM(D22:P22)</f>
        <v>1</v>
      </c>
      <c r="D22" s="61"/>
      <c r="E22" s="61">
        <v>0.3</v>
      </c>
      <c r="F22" s="61"/>
      <c r="G22" s="61">
        <v>0.2</v>
      </c>
      <c r="H22" s="61">
        <v>0</v>
      </c>
      <c r="I22" s="61"/>
      <c r="J22" s="61"/>
      <c r="K22" s="61"/>
      <c r="L22" s="61">
        <v>0.25</v>
      </c>
      <c r="M22" s="61">
        <v>0.25</v>
      </c>
      <c r="N22" s="61"/>
      <c r="O22" s="61"/>
      <c r="P22" s="61"/>
      <c r="Q22" s="61"/>
      <c r="R22" s="61"/>
      <c r="S22" s="61"/>
      <c r="T22" s="61"/>
      <c r="U22" s="61"/>
    </row>
    <row r="23" spans="1:21" ht="12.75">
      <c r="A23" s="2" t="str">
        <f>'Chart of Accounts'!B9</f>
        <v>Major Donors</v>
      </c>
      <c r="C23" s="178">
        <f>SUM(D23:P23)</f>
        <v>1</v>
      </c>
      <c r="D23" s="61">
        <v>0.1</v>
      </c>
      <c r="E23" s="61">
        <v>0.6</v>
      </c>
      <c r="F23" s="61"/>
      <c r="G23" s="61"/>
      <c r="H23" s="61">
        <v>0.3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75">
      <c r="A24" s="2" t="str">
        <f>'Chart of Accounts'!B11</f>
        <v>Workplace Giving</v>
      </c>
      <c r="C24" s="178">
        <f>SUM(D24:P24)</f>
        <v>1</v>
      </c>
      <c r="D24" s="61">
        <v>1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12.75">
      <c r="A25" s="2" t="str">
        <f>'Chart of Accounts'!B13</f>
        <v>Grants</v>
      </c>
      <c r="C25" s="178">
        <f>SUM(D25:P25)</f>
        <v>1</v>
      </c>
      <c r="D25" s="61">
        <v>0.1</v>
      </c>
      <c r="E25" s="61">
        <v>0.35</v>
      </c>
      <c r="F25" s="61">
        <v>0.55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12.75">
      <c r="A26" s="2" t="str">
        <f>'Chart of Accounts'!B15</f>
        <v>Other Income</v>
      </c>
      <c r="C26" s="178">
        <f>SUM(D26:P26)</f>
        <v>1</v>
      </c>
      <c r="D26" s="61">
        <v>0.1</v>
      </c>
      <c r="E26" s="61">
        <v>0.35</v>
      </c>
      <c r="F26" s="61">
        <v>0.55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4:21" ht="12.75">
      <c r="D27" s="179" t="s">
        <v>173</v>
      </c>
      <c r="E27" s="179" t="s">
        <v>173</v>
      </c>
      <c r="F27" s="179" t="s">
        <v>173</v>
      </c>
      <c r="G27" s="179" t="s">
        <v>173</v>
      </c>
      <c r="H27" s="179" t="s">
        <v>173</v>
      </c>
      <c r="I27" s="179" t="s">
        <v>173</v>
      </c>
      <c r="J27" s="179" t="s">
        <v>173</v>
      </c>
      <c r="K27" s="179"/>
      <c r="L27" s="179" t="s">
        <v>173</v>
      </c>
      <c r="M27" s="179" t="s">
        <v>173</v>
      </c>
      <c r="N27" s="179" t="s">
        <v>173</v>
      </c>
      <c r="O27" s="179" t="s">
        <v>173</v>
      </c>
      <c r="P27" s="179" t="s">
        <v>173</v>
      </c>
      <c r="Q27" s="179"/>
      <c r="R27" s="179"/>
      <c r="S27" s="179"/>
      <c r="T27" s="179"/>
      <c r="U27" s="179"/>
    </row>
    <row r="28" spans="1:27" ht="12.75">
      <c r="A28" s="4" t="s">
        <v>174</v>
      </c>
      <c r="B28" s="4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 t="s">
        <v>46</v>
      </c>
      <c r="W28" s="93"/>
      <c r="X28" s="93"/>
      <c r="Y28" s="93"/>
      <c r="Z28" s="93"/>
      <c r="AA28" s="93"/>
    </row>
    <row r="29" spans="1:27" ht="12.75">
      <c r="A29" s="2" t="str">
        <f>A14</f>
        <v>Checking</v>
      </c>
      <c r="B29" s="4"/>
      <c r="D29" s="12">
        <f>P44*D14</f>
        <v>0</v>
      </c>
      <c r="E29" s="12">
        <f aca="true" t="shared" si="0" ref="E29:U29">$P$44*E14</f>
        <v>0</v>
      </c>
      <c r="F29" s="12">
        <f t="shared" si="0"/>
        <v>0</v>
      </c>
      <c r="G29" s="12">
        <f t="shared" si="0"/>
        <v>0</v>
      </c>
      <c r="H29" s="12">
        <f t="shared" si="0"/>
        <v>0</v>
      </c>
      <c r="I29" s="12">
        <f t="shared" si="0"/>
        <v>0</v>
      </c>
      <c r="J29" s="12">
        <f t="shared" si="0"/>
        <v>0</v>
      </c>
      <c r="K29" s="12">
        <f t="shared" si="0"/>
        <v>857.6667216026677</v>
      </c>
      <c r="L29" s="12">
        <f t="shared" si="0"/>
        <v>0</v>
      </c>
      <c r="M29" s="12">
        <f t="shared" si="0"/>
        <v>0</v>
      </c>
      <c r="N29" s="12">
        <f t="shared" si="0"/>
        <v>0</v>
      </c>
      <c r="O29" s="12">
        <f t="shared" si="0"/>
        <v>0</v>
      </c>
      <c r="P29" s="12">
        <f t="shared" si="0"/>
        <v>0</v>
      </c>
      <c r="Q29" s="12">
        <f t="shared" si="0"/>
        <v>0</v>
      </c>
      <c r="R29" s="12">
        <f t="shared" si="0"/>
        <v>0</v>
      </c>
      <c r="S29" s="12">
        <f t="shared" si="0"/>
        <v>0</v>
      </c>
      <c r="T29" s="12">
        <f t="shared" si="0"/>
        <v>0</v>
      </c>
      <c r="U29" s="12">
        <f t="shared" si="0"/>
        <v>0</v>
      </c>
      <c r="V29" s="12">
        <f>SUM(D29:U29)</f>
        <v>857.6667216026677</v>
      </c>
      <c r="W29" s="116"/>
      <c r="X29" s="116"/>
      <c r="Y29" s="116"/>
      <c r="Z29" s="116"/>
      <c r="AA29" s="116"/>
    </row>
    <row r="30" spans="1:27" ht="12.75">
      <c r="A30" s="2" t="str">
        <f>A15</f>
        <v>Money Market</v>
      </c>
      <c r="B30" s="4"/>
      <c r="D30" s="12">
        <f>$P$45*D15</f>
        <v>0</v>
      </c>
      <c r="E30" s="12">
        <f aca="true" t="shared" si="1" ref="E30:U30">$P$45*E15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577.5</v>
      </c>
      <c r="J30" s="12">
        <f t="shared" si="1"/>
        <v>577.5</v>
      </c>
      <c r="K30" s="12">
        <f t="shared" si="1"/>
        <v>495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0</v>
      </c>
      <c r="U30" s="12">
        <f t="shared" si="1"/>
        <v>0</v>
      </c>
      <c r="V30" s="12">
        <f aca="true" t="shared" si="2" ref="V30:V40">SUM(D30:U30)</f>
        <v>1650</v>
      </c>
      <c r="W30" s="116"/>
      <c r="X30" s="116"/>
      <c r="Y30" s="116"/>
      <c r="Z30" s="116"/>
      <c r="AA30" s="116"/>
    </row>
    <row r="31" spans="1:27" ht="12.75">
      <c r="A31" s="2" t="str">
        <f>A18</f>
        <v>General Fund</v>
      </c>
      <c r="B31" s="4"/>
      <c r="D31" s="12">
        <f>$P$46*D18</f>
        <v>0</v>
      </c>
      <c r="E31" s="12">
        <f aca="true" t="shared" si="3" ref="E31:U31">$P$46*E18</f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12">
        <f t="shared" si="3"/>
        <v>0</v>
      </c>
      <c r="J31" s="12">
        <f t="shared" si="3"/>
        <v>0</v>
      </c>
      <c r="K31" s="12">
        <f t="shared" si="3"/>
        <v>10000</v>
      </c>
      <c r="L31" s="12">
        <f t="shared" si="3"/>
        <v>40000</v>
      </c>
      <c r="M31" s="12">
        <f t="shared" si="3"/>
        <v>0</v>
      </c>
      <c r="N31" s="12">
        <f t="shared" si="3"/>
        <v>0</v>
      </c>
      <c r="O31" s="12">
        <f t="shared" si="3"/>
        <v>0</v>
      </c>
      <c r="P31" s="12">
        <f t="shared" si="3"/>
        <v>0</v>
      </c>
      <c r="Q31" s="12">
        <f t="shared" si="3"/>
        <v>0</v>
      </c>
      <c r="R31" s="12">
        <f t="shared" si="3"/>
        <v>0</v>
      </c>
      <c r="S31" s="12">
        <f t="shared" si="3"/>
        <v>0</v>
      </c>
      <c r="T31" s="12">
        <f t="shared" si="3"/>
        <v>0</v>
      </c>
      <c r="U31" s="12">
        <f t="shared" si="3"/>
        <v>0</v>
      </c>
      <c r="V31" s="12">
        <f t="shared" si="2"/>
        <v>50000</v>
      </c>
      <c r="W31" s="116"/>
      <c r="X31" s="116"/>
      <c r="Y31" s="116"/>
      <c r="Z31" s="116"/>
      <c r="AA31" s="116"/>
    </row>
    <row r="32" spans="1:27" ht="12.75">
      <c r="A32" s="2" t="str">
        <f>A19</f>
        <v>Operating Endowment Fund</v>
      </c>
      <c r="B32" s="4"/>
      <c r="D32" s="12">
        <f>$P$47*D19</f>
        <v>0</v>
      </c>
      <c r="E32" s="12">
        <f aca="true" t="shared" si="4" ref="E32:U32">$P$47*E19</f>
        <v>0</v>
      </c>
      <c r="F32" s="12">
        <f t="shared" si="4"/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4"/>
        <v>0</v>
      </c>
      <c r="K32" s="12">
        <f t="shared" si="4"/>
        <v>0</v>
      </c>
      <c r="L32" s="12">
        <f t="shared" si="4"/>
        <v>20000</v>
      </c>
      <c r="M32" s="12">
        <f t="shared" si="4"/>
        <v>0</v>
      </c>
      <c r="N32" s="12">
        <f t="shared" si="4"/>
        <v>0</v>
      </c>
      <c r="O32" s="12">
        <f t="shared" si="4"/>
        <v>0</v>
      </c>
      <c r="P32" s="12">
        <f t="shared" si="4"/>
        <v>0</v>
      </c>
      <c r="Q32" s="12">
        <f t="shared" si="4"/>
        <v>0</v>
      </c>
      <c r="R32" s="12">
        <f t="shared" si="4"/>
        <v>0</v>
      </c>
      <c r="S32" s="12">
        <f t="shared" si="4"/>
        <v>0</v>
      </c>
      <c r="T32" s="12">
        <f t="shared" si="4"/>
        <v>0</v>
      </c>
      <c r="U32" s="12">
        <f t="shared" si="4"/>
        <v>0</v>
      </c>
      <c r="V32" s="12">
        <f t="shared" si="2"/>
        <v>20000</v>
      </c>
      <c r="W32" s="116"/>
      <c r="X32" s="116"/>
      <c r="Y32" s="116"/>
      <c r="Z32" s="116"/>
      <c r="AA32" s="116"/>
    </row>
    <row r="33" spans="1:27" ht="12.75">
      <c r="A33" s="2" t="str">
        <f>'Chart of Accounts'!B4</f>
        <v>New Members</v>
      </c>
      <c r="B33" s="4"/>
      <c r="D33" s="12">
        <f>Membership!$B$41*Membership!$B$43*'Unrestricted Revenue'!D22</f>
        <v>0</v>
      </c>
      <c r="E33" s="12">
        <f>Membership!$B$41*Membership!$B$43*'Unrestricted Revenue'!E22</f>
        <v>9000</v>
      </c>
      <c r="F33" s="12">
        <f>Membership!$B$41*Membership!$B$43*'Unrestricted Revenue'!F22</f>
        <v>0</v>
      </c>
      <c r="G33" s="12">
        <f>Membership!$B$41*Membership!$B$43*'Unrestricted Revenue'!G22</f>
        <v>6000</v>
      </c>
      <c r="H33" s="12">
        <f>Membership!$B$41*Membership!$B$43*'Unrestricted Revenue'!H22</f>
        <v>0</v>
      </c>
      <c r="I33" s="12">
        <f>Membership!$B$41*Membership!$B$43*'Unrestricted Revenue'!I22</f>
        <v>0</v>
      </c>
      <c r="J33" s="12">
        <f>Membership!$B$41*Membership!$B$43*'Unrestricted Revenue'!J22</f>
        <v>0</v>
      </c>
      <c r="K33" s="12">
        <f>Membership!$B$41*Membership!$B$43*'Unrestricted Revenue'!K22</f>
        <v>0</v>
      </c>
      <c r="L33" s="12">
        <f>Membership!$B$41*Membership!$B$43*'Unrestricted Revenue'!L22</f>
        <v>7500</v>
      </c>
      <c r="M33" s="12">
        <f>Membership!$B$41*Membership!$B$43*'Unrestricted Revenue'!M22</f>
        <v>7500</v>
      </c>
      <c r="N33" s="12">
        <f>Membership!$B$41*Membership!$B$43*'Unrestricted Revenue'!N22</f>
        <v>0</v>
      </c>
      <c r="O33" s="12">
        <f>Membership!$B$41*Membership!$B$43*'Unrestricted Revenue'!O22</f>
        <v>0</v>
      </c>
      <c r="P33" s="12">
        <f>Membership!$B$41*Membership!$B$43*'Unrestricted Revenue'!P22</f>
        <v>0</v>
      </c>
      <c r="Q33" s="12">
        <f>Membership!$B$41*Membership!$B$43*'Unrestricted Revenue'!Q22</f>
        <v>0</v>
      </c>
      <c r="R33" s="12">
        <f>Membership!$B$41*Membership!$B$43*'Unrestricted Revenue'!R22</f>
        <v>0</v>
      </c>
      <c r="S33" s="12">
        <f>Membership!$B$41*Membership!$B$43*'Unrestricted Revenue'!S22</f>
        <v>0</v>
      </c>
      <c r="T33" s="12">
        <f>Membership!$B$41*Membership!$B$43*'Unrestricted Revenue'!T22</f>
        <v>0</v>
      </c>
      <c r="U33" s="12">
        <f>Membership!$B$41*Membership!$B$43*'Unrestricted Revenue'!U22</f>
        <v>0</v>
      </c>
      <c r="V33" s="12">
        <f t="shared" si="2"/>
        <v>30000</v>
      </c>
      <c r="W33" s="116"/>
      <c r="X33" s="116"/>
      <c r="Y33" s="116"/>
      <c r="Z33" s="116"/>
      <c r="AA33" s="116"/>
    </row>
    <row r="34" spans="1:27" ht="12.75">
      <c r="A34" s="2" t="str">
        <f>'Chart of Accounts'!B5</f>
        <v>Renewals</v>
      </c>
      <c r="B34" s="4"/>
      <c r="D34" s="12">
        <f>D22*Membership!$B$13*Membership!$B$15</f>
        <v>0</v>
      </c>
      <c r="E34" s="12">
        <f>E22*Membership!$B$13*Membership!$B$15</f>
        <v>22500</v>
      </c>
      <c r="F34" s="12">
        <f>F22*Membership!$B$13*Membership!$B$15</f>
        <v>0</v>
      </c>
      <c r="G34" s="12">
        <f>G22*Membership!$B$13*Membership!$B$15</f>
        <v>15000</v>
      </c>
      <c r="H34" s="12">
        <f>H22*Membership!$B$13*Membership!$B$15</f>
        <v>0</v>
      </c>
      <c r="I34" s="12">
        <f>I22*Membership!$B$13*Membership!$B$15</f>
        <v>0</v>
      </c>
      <c r="J34" s="12">
        <f>J22*Membership!$B$13*Membership!$B$15</f>
        <v>0</v>
      </c>
      <c r="K34" s="12">
        <f>K22*Membership!$B$13*Membership!$B$15</f>
        <v>0</v>
      </c>
      <c r="L34" s="12">
        <f>L22*Membership!$B$13*Membership!$B$15</f>
        <v>18750</v>
      </c>
      <c r="M34" s="12">
        <f>M22*Membership!$B$13*Membership!$B$15</f>
        <v>18750</v>
      </c>
      <c r="N34" s="12">
        <f>N22*Membership!$B$13*Membership!$B$15</f>
        <v>0</v>
      </c>
      <c r="O34" s="12">
        <f>O22*Membership!$B$13*Membership!$B$15</f>
        <v>0</v>
      </c>
      <c r="P34" s="12">
        <f>P22*Membership!$B$13*Membership!$B$15</f>
        <v>0</v>
      </c>
      <c r="Q34" s="12">
        <f>Q22*Membership!$B$13*Membership!$B$15</f>
        <v>0</v>
      </c>
      <c r="R34" s="12">
        <f>R22*Membership!$B$13*Membership!$B$15</f>
        <v>0</v>
      </c>
      <c r="S34" s="12">
        <f>S22*Membership!$B$13*Membership!$B$15</f>
        <v>0</v>
      </c>
      <c r="T34" s="12">
        <f>T22*Membership!$B$13*Membership!$B$15</f>
        <v>0</v>
      </c>
      <c r="U34" s="12">
        <f>U22*Membership!$B$13*Membership!$B$15</f>
        <v>0</v>
      </c>
      <c r="V34" s="12">
        <f t="shared" si="2"/>
        <v>75000</v>
      </c>
      <c r="W34" s="116"/>
      <c r="X34" s="116"/>
      <c r="Y34" s="116"/>
      <c r="Z34" s="116"/>
      <c r="AA34" s="116"/>
    </row>
    <row r="35" spans="1:27" ht="12.75">
      <c r="A35" s="2" t="str">
        <f>'Chart of Accounts'!B6</f>
        <v>Appeals</v>
      </c>
      <c r="B35" s="4"/>
      <c r="D35" s="12">
        <f>D22*Membership!$B$27*Membership!$B$29</f>
        <v>0</v>
      </c>
      <c r="E35" s="12">
        <f>E22*Membership!$B$27*Membership!$B$29</f>
        <v>4500</v>
      </c>
      <c r="F35" s="12">
        <f>F22*Membership!$B$27*Membership!$B$29</f>
        <v>0</v>
      </c>
      <c r="G35" s="12">
        <f>G22*Membership!$B$27*Membership!$B$29</f>
        <v>3000</v>
      </c>
      <c r="H35" s="12">
        <f>H22*Membership!$B$27*Membership!$B$29</f>
        <v>0</v>
      </c>
      <c r="I35" s="12">
        <f>I22*Membership!$B$27*Membership!$B$29</f>
        <v>0</v>
      </c>
      <c r="J35" s="12">
        <f>J22*Membership!$B$27*Membership!$B$29</f>
        <v>0</v>
      </c>
      <c r="K35" s="12">
        <f>K22*Membership!$B$27*Membership!$B$29</f>
        <v>0</v>
      </c>
      <c r="L35" s="12">
        <f>L22*Membership!$B$27*Membership!$B$29</f>
        <v>3750</v>
      </c>
      <c r="M35" s="12">
        <f>M22*Membership!$B$27*Membership!$B$29</f>
        <v>3750</v>
      </c>
      <c r="N35" s="12">
        <f>N22*Membership!$B$27*Membership!$B$29</f>
        <v>0</v>
      </c>
      <c r="O35" s="12">
        <f>O22*Membership!$B$27*Membership!$B$29</f>
        <v>0</v>
      </c>
      <c r="P35" s="12">
        <f>P22*Membership!$B$27*Membership!$B$29</f>
        <v>0</v>
      </c>
      <c r="Q35" s="12">
        <f>Q22*Membership!$B$27*Membership!$B$29</f>
        <v>0</v>
      </c>
      <c r="R35" s="12">
        <f>R22*Membership!$B$27*Membership!$B$29</f>
        <v>0</v>
      </c>
      <c r="S35" s="12">
        <f>S22*Membership!$B$27*Membership!$B$29</f>
        <v>0</v>
      </c>
      <c r="T35" s="12">
        <f>T22*Membership!$B$27*Membership!$B$29</f>
        <v>0</v>
      </c>
      <c r="U35" s="12">
        <f>U22*Membership!$B$27*Membership!$B$29</f>
        <v>0</v>
      </c>
      <c r="V35" s="12">
        <f t="shared" si="2"/>
        <v>15000</v>
      </c>
      <c r="W35" s="116"/>
      <c r="X35" s="116"/>
      <c r="Y35" s="116"/>
      <c r="Z35" s="116"/>
      <c r="AA35" s="116"/>
    </row>
    <row r="36" spans="1:27" ht="12.75">
      <c r="A36" s="2" t="str">
        <f>'Chart of Accounts'!B7</f>
        <v>Monthly Giving</v>
      </c>
      <c r="B36" s="4"/>
      <c r="D36" s="12">
        <f>DSUM(Revenue,'Revenue Projects'!$D$2,$D$49:$E$62)*D22+DSUM(Revenue,'Revenue Projects'!$D$2,$D$68:$E$69)*12*D22</f>
        <v>0</v>
      </c>
      <c r="E36" s="12">
        <f>DSUM(Revenue,'Revenue Projects'!$D$2,$D$49:$E$62)*E22+DSUM(Revenue,'Revenue Projects'!$D$2,$D$68:$E$69)*12*E22</f>
        <v>2160</v>
      </c>
      <c r="F36" s="12">
        <f>DSUM(Revenue,'Revenue Projects'!$D$2,$D$49:$E$62)*F22+DSUM(Revenue,'Revenue Projects'!$D$2,$D$68:$E$69)*12*F22</f>
        <v>0</v>
      </c>
      <c r="G36" s="12">
        <f>DSUM(Revenue,'Revenue Projects'!$D$2,$D$49:$E$62)*G22+DSUM(Revenue,'Revenue Projects'!$D$2,$D$68:$E$69)*12*G22</f>
        <v>1440</v>
      </c>
      <c r="H36" s="12">
        <f>DSUM(Revenue,'Revenue Projects'!$D$2,$D$49:$E$62)*H22+DSUM(Revenue,'Revenue Projects'!$D$2,$D$68:$E$69)*12*H22</f>
        <v>0</v>
      </c>
      <c r="I36" s="12">
        <f>DSUM(Revenue,'Revenue Projects'!$D$2,$D$49:$E$62)*I22+DSUM(Revenue,'Revenue Projects'!$D$2,$D$68:$E$69)*12*I22</f>
        <v>0</v>
      </c>
      <c r="J36" s="12">
        <f>DSUM(Revenue,'Revenue Projects'!$D$2,$D$49:$E$62)*J22+DSUM(Revenue,'Revenue Projects'!$D$2,$D$68:$E$69)*12*J22</f>
        <v>0</v>
      </c>
      <c r="K36" s="12">
        <f>DSUM(Revenue,'Revenue Projects'!$D$2,$D$49:$E$62)*K22+DSUM(Revenue,'Revenue Projects'!$D$2,$D$68:$E$69)*12*K22</f>
        <v>0</v>
      </c>
      <c r="L36" s="12">
        <f>DSUM(Revenue,'Revenue Projects'!$D$2,$D$49:$E$62)*L22+DSUM(Revenue,'Revenue Projects'!$D$2,$D$68:$E$69)*12*L22</f>
        <v>1800</v>
      </c>
      <c r="M36" s="12">
        <f>DSUM(Revenue,'Revenue Projects'!$D$2,$D$49:$E$62)*M22+DSUM(Revenue,'Revenue Projects'!$D$2,$D$68:$E$69)*12*M22</f>
        <v>1800</v>
      </c>
      <c r="N36" s="12">
        <f>DSUM(Revenue,'Revenue Projects'!$D$2,$D$49:$E$62)*N22+DSUM(Revenue,'Revenue Projects'!$D$2,$D$68:$E$69)*12*N22</f>
        <v>0</v>
      </c>
      <c r="O36" s="12">
        <f>DSUM(Revenue,'Revenue Projects'!$D$2,$D$49:$E$62)*O22+DSUM(Revenue,'Revenue Projects'!$D$2,$D$68:$E$69)*12*O22</f>
        <v>0</v>
      </c>
      <c r="P36" s="12">
        <f>DSUM(Revenue,'Revenue Projects'!$D$2,$D$49:$E$62)*P22+DSUM(Revenue,'Revenue Projects'!$D$2,$D$68:$E$69)*12*P22</f>
        <v>0</v>
      </c>
      <c r="Q36" s="12">
        <f>DSUM(Revenue,'Revenue Projects'!$D$2,$D$49:$E$62)*Q22+DSUM(Revenue,'Revenue Projects'!$D$2,$D$68:$E$69)*12*Q22</f>
        <v>0</v>
      </c>
      <c r="R36" s="12">
        <f>DSUM(Revenue,'Revenue Projects'!$D$2,$D$49:$E$62)*R22+DSUM(Revenue,'Revenue Projects'!$D$2,$D$68:$E$69)*12*R22</f>
        <v>0</v>
      </c>
      <c r="S36" s="12">
        <f>DSUM(Revenue,'Revenue Projects'!$D$2,$D$49:$E$62)*S22+DSUM(Revenue,'Revenue Projects'!$D$2,$D$68:$E$69)*12*S22</f>
        <v>0</v>
      </c>
      <c r="T36" s="12">
        <f>DSUM(Revenue,'Revenue Projects'!$D$2,$D$49:$E$62)*T22+DSUM(Revenue,'Revenue Projects'!$D$2,$D$68:$E$69)*12*T22</f>
        <v>0</v>
      </c>
      <c r="U36" s="12">
        <f>DSUM(Revenue,'Revenue Projects'!$D$2,$D$49:$E$62)*U22+DSUM(Revenue,'Revenue Projects'!$D$2,$D$68:$E$69)*12*U22</f>
        <v>0</v>
      </c>
      <c r="V36" s="12">
        <f t="shared" si="2"/>
        <v>7200</v>
      </c>
      <c r="W36" s="116"/>
      <c r="X36" s="116"/>
      <c r="Y36" s="116"/>
      <c r="Z36" s="116"/>
      <c r="AA36" s="116"/>
    </row>
    <row r="37" spans="1:27" ht="12.75">
      <c r="A37" s="2" t="str">
        <f>A23</f>
        <v>Major Donors</v>
      </c>
      <c r="B37" s="4"/>
      <c r="D37" s="12">
        <f>DSUM(MajorDonors,'Major Donors'!$D$2,$A$1:$A$2)*D23</f>
        <v>3000</v>
      </c>
      <c r="E37" s="12">
        <f>DSUM(MajorDonors,'Major Donors'!$D$2,$A$1:$A$2)*E23</f>
        <v>18000</v>
      </c>
      <c r="F37" s="12">
        <f>DSUM(MajorDonors,'Major Donors'!$D$2,$A$1:$A$2)*F23</f>
        <v>0</v>
      </c>
      <c r="G37" s="12">
        <f>DSUM(MajorDonors,'Major Donors'!$D$2,$A$1:$A$2)*G23</f>
        <v>0</v>
      </c>
      <c r="H37" s="12">
        <f>DSUM(MajorDonors,'Major Donors'!$D$2,$A$1:$A$2)*H23</f>
        <v>9000</v>
      </c>
      <c r="I37" s="12">
        <f>DSUM(MajorDonors,'Major Donors'!$D$2,$A$1:$A$2)*I23</f>
        <v>0</v>
      </c>
      <c r="J37" s="12">
        <f>DSUM(MajorDonors,'Major Donors'!$D$2,$A$1:$A$2)*J23</f>
        <v>0</v>
      </c>
      <c r="K37" s="12">
        <f>DSUM(MajorDonors,'Major Donors'!$D$2,$A$1:$A$2)*K23</f>
        <v>0</v>
      </c>
      <c r="L37" s="12">
        <f>DSUM(MajorDonors,'Major Donors'!$D$2,$A$1:$A$2)*L23</f>
        <v>0</v>
      </c>
      <c r="M37" s="12">
        <f>DSUM(MajorDonors,'Major Donors'!$D$2,$A$1:$A$2)*M23</f>
        <v>0</v>
      </c>
      <c r="N37" s="12">
        <f>DSUM(MajorDonors,'Major Donors'!$D$2,$A$1:$A$2)*N23</f>
        <v>0</v>
      </c>
      <c r="O37" s="12">
        <f>DSUM(MajorDonors,'Major Donors'!$D$2,$A$1:$A$2)*O23</f>
        <v>0</v>
      </c>
      <c r="P37" s="12">
        <f>DSUM(MajorDonors,'Major Donors'!$D$2,$A$1:$A$2)*P23</f>
        <v>0</v>
      </c>
      <c r="Q37" s="12">
        <f>DSUM(MajorDonors,'Major Donors'!$D$2,$A$1:$A$2)*Q23</f>
        <v>0</v>
      </c>
      <c r="R37" s="12">
        <f>DSUM(MajorDonors,'Major Donors'!$D$2,$A$1:$A$2)*R23</f>
        <v>0</v>
      </c>
      <c r="S37" s="12">
        <f>DSUM(MajorDonors,'Major Donors'!$D$2,$A$1:$A$2)*S23</f>
        <v>0</v>
      </c>
      <c r="T37" s="12">
        <f>DSUM(MajorDonors,'Major Donors'!$D$2,$A$1:$A$2)*T23</f>
        <v>0</v>
      </c>
      <c r="U37" s="12">
        <f>DSUM(MajorDonors,'Major Donors'!$D$2,$A$1:$A$2)*U23</f>
        <v>0</v>
      </c>
      <c r="V37" s="12">
        <f t="shared" si="2"/>
        <v>30000</v>
      </c>
      <c r="W37" s="116"/>
      <c r="X37" s="116"/>
      <c r="Y37" s="116"/>
      <c r="Z37" s="116"/>
      <c r="AA37" s="116"/>
    </row>
    <row r="38" spans="1:27" ht="12.75">
      <c r="A38" s="2" t="str">
        <f>A24</f>
        <v>Workplace Giving</v>
      </c>
      <c r="B38" s="4"/>
      <c r="D38" s="12">
        <f>DSUM(Revenue,'Revenue Projects'!$E$2,$D$49:$E$62)*D24+DSUM(Revenue,'Revenue Projects'!$E$2,$D$68:$E$69)*12*D24</f>
        <v>3000</v>
      </c>
      <c r="E38" s="12">
        <f>DSUM(Revenue,'Revenue Projects'!$E$2,$D$49:$E$62)*E24+DSUM(Revenue,'Revenue Projects'!$E$2,$D$68:$E$69)*12*E24</f>
        <v>0</v>
      </c>
      <c r="F38" s="12">
        <f>DSUM(Revenue,'Revenue Projects'!$E$2,$D$49:$E$62)*F24+DSUM(Revenue,'Revenue Projects'!$E$2,$D$68:$E$69)*12*F24</f>
        <v>0</v>
      </c>
      <c r="G38" s="12">
        <f>DSUM(Revenue,'Revenue Projects'!$E$2,$D$49:$E$62)*G24+DSUM(Revenue,'Revenue Projects'!$E$2,$D$68:$E$69)*12*G24</f>
        <v>0</v>
      </c>
      <c r="H38" s="12">
        <f>DSUM(Revenue,'Revenue Projects'!$E$2,$D$49:$E$62)*H24+DSUM(Revenue,'Revenue Projects'!$E$2,$D$68:$E$69)*12*H24</f>
        <v>0</v>
      </c>
      <c r="I38" s="12">
        <f>DSUM(Revenue,'Revenue Projects'!$E$2,$D$49:$E$62)*I24+DSUM(Revenue,'Revenue Projects'!$E$2,$D$68:$E$69)*12*I24</f>
        <v>0</v>
      </c>
      <c r="J38" s="12">
        <f>DSUM(Revenue,'Revenue Projects'!$E$2,$D$49:$E$62)*J24+DSUM(Revenue,'Revenue Projects'!$E$2,$D$68:$E$69)*12*J24</f>
        <v>0</v>
      </c>
      <c r="K38" s="12">
        <f>DSUM(Revenue,'Revenue Projects'!$E$2,$D$49:$E$62)*K24+DSUM(Revenue,'Revenue Projects'!$E$2,$D$68:$E$69)*12*K24</f>
        <v>0</v>
      </c>
      <c r="L38" s="12">
        <f>DSUM(Revenue,'Revenue Projects'!$E$2,$D$49:$E$62)*L24+DSUM(Revenue,'Revenue Projects'!$E$2,$D$68:$E$69)*12*L24</f>
        <v>0</v>
      </c>
      <c r="M38" s="12">
        <f>DSUM(Revenue,'Revenue Projects'!$E$2,$D$49:$E$62)*M24+DSUM(Revenue,'Revenue Projects'!$E$2,$D$68:$E$69)*12*M24</f>
        <v>0</v>
      </c>
      <c r="N38" s="12">
        <f>DSUM(Revenue,'Revenue Projects'!$E$2,$D$49:$E$62)*N24+DSUM(Revenue,'Revenue Projects'!$E$2,$D$68:$E$69)*12*N24</f>
        <v>0</v>
      </c>
      <c r="O38" s="12">
        <f>DSUM(Revenue,'Revenue Projects'!$E$2,$D$49:$E$62)*O24+DSUM(Revenue,'Revenue Projects'!$E$2,$D$68:$E$69)*12*O24</f>
        <v>0</v>
      </c>
      <c r="P38" s="12">
        <f>DSUM(Revenue,'Revenue Projects'!$E$2,$D$49:$E$62)*P24+DSUM(Revenue,'Revenue Projects'!$E$2,$D$68:$E$69)*12*P24</f>
        <v>0</v>
      </c>
      <c r="Q38" s="12">
        <f>DSUM(Revenue,'Revenue Projects'!$E$2,$D$49:$E$62)*Q24+DSUM(Revenue,'Revenue Projects'!$E$2,$D$68:$E$69)*12*Q24</f>
        <v>0</v>
      </c>
      <c r="R38" s="12">
        <f>DSUM(Revenue,'Revenue Projects'!$E$2,$D$49:$E$62)*R24+DSUM(Revenue,'Revenue Projects'!$E$2,$D$68:$E$69)*12*R24</f>
        <v>0</v>
      </c>
      <c r="S38" s="12">
        <f>DSUM(Revenue,'Revenue Projects'!$E$2,$D$49:$E$62)*S24+DSUM(Revenue,'Revenue Projects'!$E$2,$D$68:$E$69)*12*S24</f>
        <v>0</v>
      </c>
      <c r="T38" s="12">
        <f>DSUM(Revenue,'Revenue Projects'!$E$2,$D$49:$E$62)*T24+DSUM(Revenue,'Revenue Projects'!$E$2,$D$68:$E$69)*12*T24</f>
        <v>0</v>
      </c>
      <c r="U38" s="12">
        <f>DSUM(Revenue,'Revenue Projects'!$E$2,$D$49:$E$62)*U24+DSUM(Revenue,'Revenue Projects'!$E$2,$D$68:$E$69)*12*U24</f>
        <v>0</v>
      </c>
      <c r="V38" s="12">
        <f t="shared" si="2"/>
        <v>3000</v>
      </c>
      <c r="W38" s="116"/>
      <c r="X38" s="116"/>
      <c r="Y38" s="116"/>
      <c r="Z38" s="116"/>
      <c r="AA38" s="116"/>
    </row>
    <row r="39" spans="1:27" ht="12.75">
      <c r="A39" s="2" t="str">
        <f>A25</f>
        <v>Grants</v>
      </c>
      <c r="D39" s="116">
        <f>DSUM(Grants,Grants!$E$10,$A$1:$A$2)*D25</f>
        <v>0</v>
      </c>
      <c r="E39" s="116">
        <f>DSUM(Grants,Grants!$E$10,$A$1:$A$2)*E25</f>
        <v>0</v>
      </c>
      <c r="F39" s="116">
        <f>DSUM(Grants,Grants!$E$10,$A$1:$A$2)*F25</f>
        <v>0</v>
      </c>
      <c r="G39" s="116">
        <f>DSUM(Grants,Grants!$E$10,$A$1:$A$2)*G25</f>
        <v>0</v>
      </c>
      <c r="H39" s="116">
        <f>DSUM(Grants,Grants!$E$10,$A$1:$A$2)*H25</f>
        <v>0</v>
      </c>
      <c r="I39" s="116">
        <f>DSUM(Grants,Grants!$E$10,$A$1:$A$2)*I25</f>
        <v>0</v>
      </c>
      <c r="J39" s="116">
        <f>DSUM(Grants,Grants!$E$10,$A$1:$A$2)*J25</f>
        <v>0</v>
      </c>
      <c r="K39" s="116">
        <f>DSUM(Grants,Grants!$E$10,$A$1:$A$2)*K25</f>
        <v>0</v>
      </c>
      <c r="L39" s="116">
        <f>DSUM(Grants,Grants!$E$10,$A$1:$A$2)*L25</f>
        <v>0</v>
      </c>
      <c r="M39" s="116">
        <f>DSUM(Grants,Grants!$E$10,$A$1:$A$2)*M25</f>
        <v>0</v>
      </c>
      <c r="N39" s="116">
        <f>DSUM(Grants,Grants!$E$10,$A$1:$A$2)*N25</f>
        <v>0</v>
      </c>
      <c r="O39" s="116">
        <f>DSUM(Grants,Grants!$E$10,$A$1:$A$2)*O25</f>
        <v>0</v>
      </c>
      <c r="P39" s="116">
        <f>DSUM(Grants,Grants!$E$10,$A$1:$A$2)*P25</f>
        <v>0</v>
      </c>
      <c r="Q39" s="116">
        <f>DSUM(Grants,Grants!$E$10,$A$1:$A$2)*Q25</f>
        <v>0</v>
      </c>
      <c r="R39" s="116">
        <f>DSUM(Grants,Grants!$E$10,$A$1:$A$2)*R25</f>
        <v>0</v>
      </c>
      <c r="S39" s="116">
        <f>DSUM(Grants,Grants!$E$10,$A$1:$A$2)*S25</f>
        <v>0</v>
      </c>
      <c r="T39" s="116">
        <f>DSUM(Grants,Grants!$E$10,$A$1:$A$2)*T25</f>
        <v>0</v>
      </c>
      <c r="U39" s="116">
        <f>DSUM(Grants,Grants!$E$10,$A$1:$A$2)*U25</f>
        <v>0</v>
      </c>
      <c r="V39" s="116">
        <f t="shared" si="2"/>
        <v>0</v>
      </c>
      <c r="W39" s="116"/>
      <c r="X39" s="116"/>
      <c r="Y39" s="116"/>
      <c r="Z39" s="116"/>
      <c r="AA39" s="116"/>
    </row>
    <row r="40" spans="1:27" ht="12.75">
      <c r="A40" s="2" t="str">
        <f>A26</f>
        <v>Other Income</v>
      </c>
      <c r="D40" s="180">
        <f>(DSUM(Revenue,'Revenue Projects'!$F$2,$D$49:$E$62)+DSUM(Revenue,'Revenue Projects'!$F$2,$D$68:$E$69)*12)*D26</f>
        <v>1500</v>
      </c>
      <c r="E40" s="180">
        <f>(DSUM(Revenue,'Revenue Projects'!$F$2,$D$49:$E$62)+DSUM(Revenue,'Revenue Projects'!$F$2,$D$68:$E$69)*12)*E26</f>
        <v>5250</v>
      </c>
      <c r="F40" s="180">
        <f>(DSUM(Revenue,'Revenue Projects'!$F$2,$D$49:$E$62)+DSUM(Revenue,'Revenue Projects'!$F$2,$D$68:$E$69)*12)*F26</f>
        <v>8250</v>
      </c>
      <c r="G40" s="180">
        <f>(DSUM(Revenue,'Revenue Projects'!$F$2,$D$49:$E$62)+DSUM(Revenue,'Revenue Projects'!$F$2,$D$68:$E$69)*12)*G26</f>
        <v>0</v>
      </c>
      <c r="H40" s="180">
        <f>(DSUM(Revenue,'Revenue Projects'!$F$2,$D$49:$E$62)+DSUM(Revenue,'Revenue Projects'!$F$2,$D$68:$E$69)*12)*H26</f>
        <v>0</v>
      </c>
      <c r="I40" s="180">
        <f>(DSUM(Revenue,'Revenue Projects'!$F$2,$D$49:$E$62)+DSUM(Revenue,'Revenue Projects'!$F$2,$D$68:$E$69)*12)*I26</f>
        <v>0</v>
      </c>
      <c r="J40" s="180">
        <f>(DSUM(Revenue,'Revenue Projects'!$F$2,$D$49:$E$62)+DSUM(Revenue,'Revenue Projects'!$F$2,$D$68:$E$69)*12)*J26</f>
        <v>0</v>
      </c>
      <c r="K40" s="180">
        <f>(DSUM(Revenue,'Revenue Projects'!$F$2,$D$49:$E$62)+DSUM(Revenue,'Revenue Projects'!$F$2,$D$68:$E$69)*12)*K26</f>
        <v>0</v>
      </c>
      <c r="L40" s="180">
        <f>(DSUM(Revenue,'Revenue Projects'!$F$2,$D$49:$E$62)+DSUM(Revenue,'Revenue Projects'!$F$2,$D$68:$E$69)*12)*L26</f>
        <v>0</v>
      </c>
      <c r="M40" s="180">
        <f>(DSUM(Revenue,'Revenue Projects'!$F$2,$D$49:$E$62)+DSUM(Revenue,'Revenue Projects'!$F$2,$D$68:$E$69)*12)*M26</f>
        <v>0</v>
      </c>
      <c r="N40" s="180">
        <f>(DSUM(Revenue,'Revenue Projects'!$F$2,$D$49:$E$62)+DSUM(Revenue,'Revenue Projects'!$F$2,$D$68:$E$69)*12)*N26</f>
        <v>0</v>
      </c>
      <c r="O40" s="180">
        <f>(DSUM(Revenue,'Revenue Projects'!$F$2,$D$49:$E$62)+DSUM(Revenue,'Revenue Projects'!$F$2,$D$68:$E$69)*12)*O26</f>
        <v>0</v>
      </c>
      <c r="P40" s="180">
        <f>(DSUM(Revenue,'Revenue Projects'!$F$2,$D$49:$E$62)+DSUM(Revenue,'Revenue Projects'!$F$2,$D$68:$E$69)*12)*P26</f>
        <v>0</v>
      </c>
      <c r="Q40" s="180">
        <f>(DSUM(Revenue,'Revenue Projects'!$F$2,$D$49:$E$62)+DSUM(Revenue,'Revenue Projects'!$F$2,$D$68:$E$69)*12)*Q26</f>
        <v>0</v>
      </c>
      <c r="R40" s="180">
        <f>(DSUM(Revenue,'Revenue Projects'!$F$2,$D$49:$E$62)+DSUM(Revenue,'Revenue Projects'!$F$2,$D$68:$E$69)*12)*R26</f>
        <v>0</v>
      </c>
      <c r="S40" s="180">
        <f>(DSUM(Revenue,'Revenue Projects'!$F$2,$D$49:$E$62)+DSUM(Revenue,'Revenue Projects'!$F$2,$D$68:$E$69)*12)*S26</f>
        <v>0</v>
      </c>
      <c r="T40" s="180">
        <f>(DSUM(Revenue,'Revenue Projects'!$F$2,$D$49:$E$62)+DSUM(Revenue,'Revenue Projects'!$F$2,$D$68:$E$69)*12)*T26</f>
        <v>0</v>
      </c>
      <c r="U40" s="180">
        <f>(DSUM(Revenue,'Revenue Projects'!$F$2,$D$49:$E$62)+DSUM(Revenue,'Revenue Projects'!$F$2,$D$68:$E$69)*12)*U26</f>
        <v>0</v>
      </c>
      <c r="V40" s="180">
        <f t="shared" si="2"/>
        <v>15000</v>
      </c>
      <c r="W40" s="116"/>
      <c r="X40" s="116"/>
      <c r="Y40" s="116"/>
      <c r="Z40" s="116"/>
      <c r="AA40" s="116"/>
    </row>
    <row r="41" spans="1:27" ht="12.75">
      <c r="A41" s="4" t="s">
        <v>175</v>
      </c>
      <c r="D41" s="12">
        <f>SUM(D29:D40)</f>
        <v>7500</v>
      </c>
      <c r="E41" s="12">
        <f aca="true" t="shared" si="5" ref="E41:V41">SUM(E29:E40)</f>
        <v>61410</v>
      </c>
      <c r="F41" s="12">
        <f t="shared" si="5"/>
        <v>8250</v>
      </c>
      <c r="G41" s="12">
        <f t="shared" si="5"/>
        <v>25440</v>
      </c>
      <c r="H41" s="12">
        <f t="shared" si="5"/>
        <v>9000</v>
      </c>
      <c r="I41" s="12">
        <f t="shared" si="5"/>
        <v>577.5</v>
      </c>
      <c r="J41" s="12">
        <f t="shared" si="5"/>
        <v>577.5</v>
      </c>
      <c r="K41" s="12">
        <f t="shared" si="5"/>
        <v>11352.666721602667</v>
      </c>
      <c r="L41" s="12">
        <f t="shared" si="5"/>
        <v>91800</v>
      </c>
      <c r="M41" s="12">
        <f t="shared" si="5"/>
        <v>31800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2">
        <f t="shared" si="5"/>
        <v>0</v>
      </c>
      <c r="S41" s="12">
        <f t="shared" si="5"/>
        <v>0</v>
      </c>
      <c r="T41" s="12">
        <f t="shared" si="5"/>
        <v>0</v>
      </c>
      <c r="U41" s="12">
        <f t="shared" si="5"/>
        <v>0</v>
      </c>
      <c r="V41" s="12">
        <f t="shared" si="5"/>
        <v>247707.66672160267</v>
      </c>
      <c r="W41" s="116"/>
      <c r="X41" s="116"/>
      <c r="Y41" s="116"/>
      <c r="Z41" s="116"/>
      <c r="AA41" s="116"/>
    </row>
    <row r="42" spans="23:27" ht="12.75">
      <c r="W42" s="1"/>
      <c r="X42" s="1"/>
      <c r="Y42" s="1"/>
      <c r="Z42" s="1"/>
      <c r="AA42" s="1"/>
    </row>
    <row r="43" spans="4:27" ht="12.75">
      <c r="D43" s="214">
        <f>'Chart of Accounts'!$E$3</f>
        <v>36892</v>
      </c>
      <c r="E43" s="214">
        <f>'Chart of Accounts'!$E$4</f>
        <v>36923</v>
      </c>
      <c r="F43" s="214">
        <f>'Chart of Accounts'!$E$5</f>
        <v>36951</v>
      </c>
      <c r="G43" s="214">
        <f>'Chart of Accounts'!$E$6</f>
        <v>36982</v>
      </c>
      <c r="H43" s="214">
        <f>'Chart of Accounts'!$E$7</f>
        <v>37012</v>
      </c>
      <c r="I43" s="214">
        <f>'Chart of Accounts'!$E$8</f>
        <v>37043</v>
      </c>
      <c r="J43" s="214">
        <f>'Chart of Accounts'!$E$9</f>
        <v>37073</v>
      </c>
      <c r="K43" s="214">
        <f>'Chart of Accounts'!$E$10</f>
        <v>37104</v>
      </c>
      <c r="L43" s="214">
        <f>'Chart of Accounts'!$E$11</f>
        <v>37135</v>
      </c>
      <c r="M43" s="214">
        <f>'Chart of Accounts'!$E$12</f>
        <v>37165</v>
      </c>
      <c r="N43" s="214">
        <f>'Chart of Accounts'!$E$13</f>
        <v>37196</v>
      </c>
      <c r="O43" s="214">
        <f>'Chart of Accounts'!$E$14</f>
        <v>37226</v>
      </c>
      <c r="P43" s="103" t="s">
        <v>46</v>
      </c>
      <c r="Q43" s="221">
        <f>'Chart of Accounts'!$E$16</f>
        <v>2002</v>
      </c>
      <c r="R43" s="221">
        <f>'Chart of Accounts'!$E$17</f>
        <v>2003</v>
      </c>
      <c r="S43" s="221">
        <f>'Chart of Accounts'!$E$18</f>
        <v>2004</v>
      </c>
      <c r="T43" s="221">
        <f>'Chart of Accounts'!$E$19</f>
        <v>2005</v>
      </c>
      <c r="W43" s="1"/>
      <c r="X43" s="1"/>
      <c r="Y43" s="1"/>
      <c r="Z43" s="1"/>
      <c r="AA43" s="1"/>
    </row>
    <row r="44" spans="1:27" ht="12.75">
      <c r="A44" s="2" t="str">
        <f>A29</f>
        <v>Checking</v>
      </c>
      <c r="D44" s="12">
        <f>B14*B9/12</f>
        <v>23.333333333333332</v>
      </c>
      <c r="E44" s="12">
        <f>IF($B$14-'Cash Budget'!B34&lt;0,0,(($B$14-'Cash Budget'!B34+'Cash Budget'!B35)*'Unrestricted Revenue'!$B$9/12))</f>
        <v>48.748108611111114</v>
      </c>
      <c r="F44" s="12">
        <f>IF($B$14-'Cash Budget'!C34&lt;0,0,(($B$14-'Cash Budget'!C34+'Cash Budget'!C35)*'Unrestricted Revenue'!$B$9/12))</f>
        <v>82.82649373907408</v>
      </c>
      <c r="G44" s="12">
        <f>IF($B$14-'Cash Budget'!D34&lt;0,0,(($B$14-'Cash Budget'!D34+'Cash Budget'!D35)*'Unrestricted Revenue'!$B$9/12))</f>
        <v>67.50093112378902</v>
      </c>
      <c r="H44" s="12">
        <f>IF($B$14-'Cash Budget'!E34&lt;0,0,(($B$14-'Cash Budget'!E34+'Cash Budget'!E35)*'Unrestricted Revenue'!$B$9/12))</f>
        <v>52.16515146676043</v>
      </c>
      <c r="I44" s="12">
        <f>IF($B$14-'Cash Budget'!F34&lt;0,0,(($B$14-'Cash Budget'!F34+'Cash Budget'!F35)*'Unrestricted Revenue'!$B$9/12))</f>
        <v>49.78581462329382</v>
      </c>
      <c r="J44" s="12">
        <f>IF($B$14-'Cash Budget'!G34&lt;0,0,(($B$14-'Cash Budget'!G34+'Cash Budget'!G35)*'Unrestricted Revenue'!$B$9/12))</f>
        <v>99.77155822193157</v>
      </c>
      <c r="K44" s="12">
        <f>IF($B$14-'Cash Budget'!H34&lt;0,0,(($B$14-'Cash Budget'!H34+'Cash Budget'!H35)*'Unrestricted Revenue'!$B$9/12))</f>
        <v>87.59062564963507</v>
      </c>
      <c r="L44" s="12">
        <f>IF($B$14-'Cash Budget'!I34&lt;0,0,(($B$14-'Cash Budget'!I34+'Cash Budget'!I35)*'Unrestricted Revenue'!$B$9/12))</f>
        <v>74.03490578895706</v>
      </c>
      <c r="M44" s="12">
        <f>IF($B$14-'Cash Budget'!J34&lt;0,0,(($B$14-'Cash Budget'!J34+'Cash Budget'!J35)*'Unrestricted Revenue'!$B$9/12))</f>
        <v>105.95014878170527</v>
      </c>
      <c r="N44" s="12">
        <f>IF($B$14-'Cash Budget'!K34&lt;0,0,(($B$14-'Cash Budget'!K34+'Cash Budget'!K35)*'Unrestricted Revenue'!$B$9/12))</f>
        <v>90.64000193644863</v>
      </c>
      <c r="O44" s="12">
        <f>IF($B$14-'Cash Budget'!L34&lt;0,0,(($B$14-'Cash Budget'!L34+'Cash Budget'!L35)*'Unrestricted Revenue'!$B$9/12))</f>
        <v>75.31964832662847</v>
      </c>
      <c r="P44" s="12">
        <f>SUM(D44:O44)</f>
        <v>857.6667216026677</v>
      </c>
      <c r="Q44" s="12">
        <f>IF($B$14-'Cash Budget'!$M$34+'Cash Budget'!M35&lt;0,0,(($B$14-'Cash Budget'!$M$34+'Cash Budget'!M35)*'Unrestricted Revenue'!$B$9))</f>
        <v>898.8689737728214</v>
      </c>
      <c r="R44" s="12">
        <f>IF($B$14-'Cash Budget'!$M$34+'Cash Budget'!M35+'5 Year Summary '!$C$23&lt;0,0,(($B$14-'Cash Budget'!$M$34+'Cash Budget'!M35+'5 Year Summary '!$C$23)*'Unrestricted Revenue'!$B$9))</f>
        <v>1390.1731385630048</v>
      </c>
      <c r="S44" s="12">
        <f>IF($B$14-'Cash Budget'!$M$34+'Cash Budget'!M35+'5 Year Summary '!$C$23+'5 Year Summary '!$D$23&lt;0,0,(($B$14-'Cash Budget'!$M$34+'Cash Budget'!M35+'5 Year Summary '!$C$23+'5 Year Summary '!$D$23)*'Unrestricted Revenue'!$B$9))</f>
        <v>1011.3129276715089</v>
      </c>
      <c r="T44" s="12">
        <f>IF($B$14-'Cash Budget'!$M$34+'Cash Budget'!M35+'5 Year Summary '!$C$23+'5 Year Summary '!$D$23+'5 Year Summary '!E23&lt;0,0,(($B$14-'Cash Budget'!$M$34+'Cash Budget'!M35+'5 Year Summary '!$C$23+'5 Year Summary '!$D$23+'5 Year Summary '!E23)*'Unrestricted Revenue'!$B$9))</f>
        <v>957.5096114928806</v>
      </c>
      <c r="W44" s="1"/>
      <c r="X44" s="1"/>
      <c r="Y44" s="1"/>
      <c r="Z44" s="1"/>
      <c r="AA44" s="1"/>
    </row>
    <row r="45" spans="1:27" ht="12.75">
      <c r="A45" s="2" t="str">
        <f>A30</f>
        <v>Money Market</v>
      </c>
      <c r="D45" s="12">
        <f>B15*B10/12</f>
        <v>137.5</v>
      </c>
      <c r="E45" s="12">
        <f>IF($B$14-'Cash Budget'!$B$34&gt;0,B15*B10/12,IF($B$14+$B$15-'Cash Budget'!$B$34+'Cash Budget'!$B$35&lt;0,0,($B$14+$B$15-'Cash Budget'!$B$34+'Cash Budget'!$B$35)*'Unrestricted Revenue'!B10/12))</f>
        <v>137.5</v>
      </c>
      <c r="F45" s="12">
        <f>IF($B$14-'Cash Budget'!C34&gt;0,$B$15*$B$10/12,IF($B$14+$B$15-'Cash Budget'!C34+'Cash Budget'!C35&lt;0,0,($B$14+$B$15-'Cash Budget'!C34+'Cash Budget'!C35)*'Unrestricted Revenue'!$B$10/12))</f>
        <v>137.5</v>
      </c>
      <c r="G45" s="12">
        <f>IF($B$14-'Cash Budget'!D34&gt;0,$B$15*$B$10/12,IF($B$14+$B$15-'Cash Budget'!D34+'Cash Budget'!D35&lt;0,0,($B$14+$B$15-'Cash Budget'!D34+'Cash Budget'!D35)*'Unrestricted Revenue'!$B$10/12))</f>
        <v>137.5</v>
      </c>
      <c r="H45" s="12">
        <f>IF($B$14-'Cash Budget'!E34&gt;0,$B$15*$B$10/12,IF($B$14+$B$15-'Cash Budget'!E34+'Cash Budget'!E35&lt;0,0,($B$14+$B$15-'Cash Budget'!E34+'Cash Budget'!E35)*'Unrestricted Revenue'!$B$10/12))</f>
        <v>137.5</v>
      </c>
      <c r="I45" s="12">
        <f>IF($B$14-'Cash Budget'!F34&gt;0,$B$15*$B$10/12,IF($B$14+$B$15-'Cash Budget'!F34+'Cash Budget'!F35&lt;0,0,($B$14+$B$15-'Cash Budget'!F34+'Cash Budget'!F35)*'Unrestricted Revenue'!$B$10/12))</f>
        <v>137.5</v>
      </c>
      <c r="J45" s="12">
        <f>IF($B$14-'Cash Budget'!G34&gt;0,$B$15*$B$10/12,IF($B$14+$B$15-'Cash Budget'!G34+'Cash Budget'!G35&lt;0,0,($B$14+$B$15-'Cash Budget'!G34+'Cash Budget'!G35)*'Unrestricted Revenue'!$B$10/12))</f>
        <v>137.5</v>
      </c>
      <c r="K45" s="12">
        <f>IF($B$14-'Cash Budget'!H34&gt;0,$B$15*$B$10/12,IF($B$14+$B$15-'Cash Budget'!H34+'Cash Budget'!H35&lt;0,0,($B$14+$B$15-'Cash Budget'!H34+'Cash Budget'!H35)*'Unrestricted Revenue'!$B$10/12))</f>
        <v>137.5</v>
      </c>
      <c r="L45" s="12">
        <f>IF($B$14-'Cash Budget'!I34&gt;0,$B$15*$B$10/12,IF($B$14+$B$15-'Cash Budget'!I34+'Cash Budget'!I35&lt;0,0,($B$14+$B$15-'Cash Budget'!I34+'Cash Budget'!I35)*'Unrestricted Revenue'!$B$10/12))</f>
        <v>137.5</v>
      </c>
      <c r="M45" s="12">
        <f>IF($B$14-'Cash Budget'!J34&gt;0,$B$15*$B$10/12,IF($B$14+$B$15-'Cash Budget'!J34+'Cash Budget'!J35&lt;0,0,($B$14+$B$15-'Cash Budget'!J34+'Cash Budget'!J35)*'Unrestricted Revenue'!$B$10/12))</f>
        <v>137.5</v>
      </c>
      <c r="N45" s="12">
        <f>IF($B$14-'Cash Budget'!K34&gt;0,$B$15*$B$10/12,IF($B$14+$B$15-'Cash Budget'!K34+'Cash Budget'!K35&lt;0,0,($B$14+$B$15-'Cash Budget'!K34+'Cash Budget'!K35)*'Unrestricted Revenue'!$B$10/12))</f>
        <v>137.5</v>
      </c>
      <c r="O45" s="12">
        <f>IF($B$14-'Cash Budget'!L34&gt;0,$B$15*$B$10/12,IF($B$14+$B$15-'Cash Budget'!L34+'Cash Budget'!L35&lt;0,0,($B$14+$B$15-'Cash Budget'!L34+'Cash Budget'!L35)*'Unrestricted Revenue'!$B$10/12))</f>
        <v>137.5</v>
      </c>
      <c r="P45" s="12">
        <f>SUM(D45:O45)</f>
        <v>1650</v>
      </c>
      <c r="Q45" s="12">
        <f>IF($B$14-'Cash Budget'!$M$34+'Cash Budget'!$M$35&gt;0,$B$15*$B$10,IF($B$14+$B$15-'Cash Budget'!$M$34+'Cash Budget'!$M$35&lt;0,0,($B$14+$B$15-'Cash Budget'!$M$34+'Cash Budget'!$M$35)*'Unrestricted Revenue'!$B$10))</f>
        <v>1650</v>
      </c>
      <c r="R45" s="12">
        <f>IF($B$14-'Cash Budget'!$M$34+'Cash Budget'!$M$35+'5 Year Summary '!$C$23&gt;0,$B$15*$B$10,IF($B$14+$B$15-'Cash Budget'!$M$34+'Cash Budget'!$M$35+'5 Year Summary '!$C$23&lt;0,0,($B$14+$B$15-'Cash Budget'!$M$34+'Cash Budget'!$M$35+'5 Year Summary '!$C$23)*'Unrestricted Revenue'!$B$10))</f>
        <v>1650</v>
      </c>
      <c r="S45" s="12">
        <f>IF($B$14-'Cash Budget'!$M$34+'Cash Budget'!$M$35+'5 Year Summary '!$C$23+'5 Year Summary '!$D$23&gt;0,$B$15*$B$10,IF($B$14+$B$15-'Cash Budget'!$M$34+'Cash Budget'!$M$35+'5 Year Summary '!$C$23+'5 Year Summary '!$D$23&lt;0,0,($B$14+$B$15-'Cash Budget'!$M$34+'Cash Budget'!$M$35+'5 Year Summary '!$C$23+'5 Year Summary '!$D$23)*'Unrestricted Revenue'!$B$10))</f>
        <v>1650</v>
      </c>
      <c r="T45" s="12">
        <f>IF($B$14-'Cash Budget'!$M$34+'Cash Budget'!$M$35+'5 Year Summary '!$C$23+'5 Year Summary '!$D$23+'5 Year Summary '!E23&gt;0,$B$15*$B$10,IF($B$14+$B$15-'Cash Budget'!$M$34+'Cash Budget'!$M$35+'5 Year Summary '!$C$23+'5 Year Summary '!$D$23+'5 Year Summary '!E23&lt;0,0,($B$14+$B$15-'Cash Budget'!$M$34+'Cash Budget'!$M$35+'5 Year Summary '!$C$23+'5 Year Summary '!$D$23+'5 Year Summary '!E23)*'Unrestricted Revenue'!$B$10))</f>
        <v>1650</v>
      </c>
      <c r="W45" s="1"/>
      <c r="X45" s="1"/>
      <c r="Y45" s="1"/>
      <c r="Z45" s="1"/>
      <c r="AA45" s="1"/>
    </row>
    <row r="46" spans="1:27" ht="12.75">
      <c r="A46" s="2" t="str">
        <f>A31</f>
        <v>General Fund</v>
      </c>
      <c r="D46" s="12">
        <f>B18*B11/12</f>
        <v>4166.666666666667</v>
      </c>
      <c r="E46" s="12">
        <f>IF($B$14+$B$15-'Cash Budget'!$B$34&gt;0,B18*$B$11/12,IF($B$14+$B$15+$B$18-'Cash Budget'!$B$34+'Cash Budget'!$B$35&lt;0,0,($B$14+$B$15+$B$18-'Cash Budget'!$B$34+'Cash Budget'!$B$35)*'Unrestricted Revenue'!$B$11/12))</f>
        <v>4166.666666666667</v>
      </c>
      <c r="F46" s="12">
        <f>IF($B$14+$B$15-'Cash Budget'!C34&gt;0,$B$18*$B$11/12,IF($B$14+$B$15+$B$18-'Cash Budget'!C34+'Cash Budget'!C35&lt;0,0,($B$14+$B$15+$B$18-'Cash Budget'!C34+'Cash Budget'!C35)*'Unrestricted Revenue'!$B$11/12))</f>
        <v>4166.666666666667</v>
      </c>
      <c r="G46" s="12">
        <f>IF($B$14+$B$15-'Cash Budget'!D34&gt;0,$B$18*$B$11/12,IF($B$14+$B$15+$B$18-'Cash Budget'!D34+'Cash Budget'!D35&lt;0,0,($B$14+$B$15+$B$18-'Cash Budget'!D34+'Cash Budget'!D35)*'Unrestricted Revenue'!$B$11/12))</f>
        <v>4166.666666666667</v>
      </c>
      <c r="H46" s="12">
        <f>IF($B$14+$B$15-'Cash Budget'!E34&gt;0,$B$18*$B$11/12,IF($B$14+$B$15+$B$18-'Cash Budget'!E34+'Cash Budget'!E35&lt;0,0,($B$14+$B$15+$B$18-'Cash Budget'!E34+'Cash Budget'!E35)*'Unrestricted Revenue'!$B$11/12))</f>
        <v>4166.666666666667</v>
      </c>
      <c r="I46" s="12">
        <f>IF($B$14+$B$15-'Cash Budget'!F34&gt;0,$B$18*$B$11/12,IF($B$14+$B$15+$B$18-'Cash Budget'!F34+'Cash Budget'!F35&lt;0,0,($B$14+$B$15+$B$18-'Cash Budget'!F34+'Cash Budget'!F35)*'Unrestricted Revenue'!$B$11/12))</f>
        <v>4166.666666666667</v>
      </c>
      <c r="J46" s="12">
        <f>IF($B$14+$B$15-'Cash Budget'!G34&gt;0,$B$18*$B$11/12,IF($B$14+$B$15+$B$18-'Cash Budget'!G34+'Cash Budget'!G35&lt;0,0,($B$14+$B$15+$B$18-'Cash Budget'!G34+'Cash Budget'!G35)*'Unrestricted Revenue'!$B$11/12))</f>
        <v>4166.666666666667</v>
      </c>
      <c r="K46" s="12">
        <f>IF($B$14+$B$15-'Cash Budget'!H34&gt;0,$B$18*$B$11/12,IF($B$14+$B$15+$B$18-'Cash Budget'!H34+'Cash Budget'!H35&lt;0,0,($B$14+$B$15+$B$18-'Cash Budget'!H34+'Cash Budget'!H35)*'Unrestricted Revenue'!$B$11/12))</f>
        <v>4166.666666666667</v>
      </c>
      <c r="L46" s="12">
        <f>IF($B$14+$B$15-'Cash Budget'!I34&gt;0,$B$18*$B$11/12,IF($B$14+$B$15+$B$18-'Cash Budget'!I34+'Cash Budget'!I35&lt;0,0,($B$14+$B$15+$B$18-'Cash Budget'!I34+'Cash Budget'!I35)*'Unrestricted Revenue'!$B$11/12))</f>
        <v>4166.666666666667</v>
      </c>
      <c r="M46" s="12">
        <f>IF($B$14+$B$15-'Cash Budget'!J34&gt;0,$B$18*$B$11/12,IF($B$14+$B$15+$B$18-'Cash Budget'!J34+'Cash Budget'!J35&lt;0,0,($B$14+$B$15+$B$18-'Cash Budget'!J34+'Cash Budget'!J35)*'Unrestricted Revenue'!$B$11/12))</f>
        <v>4166.666666666667</v>
      </c>
      <c r="N46" s="12">
        <f>IF($B$14+$B$15-'Cash Budget'!K34&gt;0,$B$18*$B$11/12,IF($B$14+$B$15+$B$18-'Cash Budget'!K34+'Cash Budget'!K35&lt;0,0,($B$14+$B$15+$B$18-'Cash Budget'!K34+'Cash Budget'!K35)*'Unrestricted Revenue'!$B$11/12))</f>
        <v>4166.666666666667</v>
      </c>
      <c r="O46" s="12">
        <f>IF($B$14+$B$15-'Cash Budget'!L34&gt;0,$B$18*$B$11/12,IF($B$14+$B$15+$B$18-'Cash Budget'!L34+'Cash Budget'!L35&lt;0,0,($B$14+$B$15+$B$18-'Cash Budget'!L34+'Cash Budget'!L35)*'Unrestricted Revenue'!$B$11/12))</f>
        <v>4166.666666666667</v>
      </c>
      <c r="P46" s="12">
        <f>SUM(D46:O46)</f>
        <v>49999.99999999999</v>
      </c>
      <c r="Q46" s="12">
        <f>IF($B$14+$B$15-'Cash Budget'!$M$34+'Cash Budget'!$M$35&gt;0,$B$18*$B$11,IF($B$14+$B$15+$B$18-'Cash Budget'!$M$34+'Cash Budget'!$M$35&lt;0,0,($B$14+$B$15+$B$18-'Cash Budget'!$M$34+'Cash Budget'!$M$35)*'Unrestricted Revenue'!$B$11))</f>
        <v>50000</v>
      </c>
      <c r="R46" s="12">
        <f>IF($B$14+$B$15-'Cash Budget'!$M$34+'Cash Budget'!$M$35+'5 Year Summary '!$C$23&gt;0,$B$18*$B$11,IF($B$14+$B$15+$B$18-'Cash Budget'!$M$34+'Cash Budget'!$M$35+'5 Year Summary '!$C$23&lt;0,0,($B$14+$B$15+$B$18-'Cash Budget'!$M$34+'Cash Budget'!$M$35+'5 Year Summary '!$C$23)*'Unrestricted Revenue'!$B$11))</f>
        <v>50000</v>
      </c>
      <c r="S46" s="12">
        <f>IF($B$14+$B$15-'Cash Budget'!$M$34+'Cash Budget'!$M$35+'5 Year Summary '!$C$23+'5 Year Summary '!$D$23&gt;0,$B$18*$B$11,IF($B$14+$B$15+$B$18-'Cash Budget'!$M$34+'Cash Budget'!$M$35+'5 Year Summary '!$C$23+'5 Year Summary '!$D$23&lt;0,0,($B$14+$B$15+$B$18-'Cash Budget'!$M$34+'Cash Budget'!$M$35+'5 Year Summary '!$C$23+'5 Year Summary '!$D$23)*'Unrestricted Revenue'!$B$11))</f>
        <v>50000</v>
      </c>
      <c r="T46" s="12">
        <f>IF($B$14+$B$15-'Cash Budget'!$M$34+'Cash Budget'!$M$35+'5 Year Summary '!$C$23+'5 Year Summary '!$D$23+'5 Year Summary '!E23&gt;0,$B$18*$B$11,IF($B$14+$B$15+$B$18-'Cash Budget'!$M$34+'Cash Budget'!$M$35+'5 Year Summary '!$C$23+'5 Year Summary '!$D$23+'5 Year Summary '!E23&lt;0,0,($B$14+$B$15+$B$18-'Cash Budget'!$M$34+'Cash Budget'!$M$35+'5 Year Summary '!$C$23+'5 Year Summary '!$D$23+'5 Year Summary '!E23)*'Unrestricted Revenue'!$B$11))</f>
        <v>50000</v>
      </c>
      <c r="W46" s="1"/>
      <c r="X46" s="1"/>
      <c r="Y46" s="1"/>
      <c r="Z46" s="1"/>
      <c r="AA46" s="1"/>
    </row>
    <row r="47" spans="1:20" ht="12.75">
      <c r="A47" s="2" t="str">
        <f>A32</f>
        <v>Operating Endowment Fund</v>
      </c>
      <c r="D47" s="12">
        <f>B19*B11/12</f>
        <v>1666.6666666666667</v>
      </c>
      <c r="E47" s="12">
        <f>IF($B$14+$B$15+$B$18-'Cash Budget'!B34&gt;0,$B$19*$B$11/12,IF($B$14+$B$15+$B$18+$B$19-'Cash Budget'!B34+'Cash Budget'!B35&lt;0,0,($B$14+$B$15+$B$18+$B$19-'Cash Budget'!B34+'Cash Budget'!B35)*'Unrestricted Revenue'!$B$11/12))</f>
        <v>1666.6666666666667</v>
      </c>
      <c r="F47" s="12">
        <f>IF($B$14+$B$15+$B$18-'Cash Budget'!C34&gt;0,$B$19*$B$11/12,IF($B$14+$B$15+$B$18+$B$19-'Cash Budget'!C34+'Cash Budget'!C35&lt;0,0,($B$14+$B$15+$B$18+$B$19-'Cash Budget'!C34+'Cash Budget'!C35)*'Unrestricted Revenue'!$B$11/12))</f>
        <v>1666.6666666666667</v>
      </c>
      <c r="G47" s="12">
        <f>IF($B$14+$B$15+$B$18-'Cash Budget'!D34&gt;0,$B$19*$B$11/12,IF($B$14+$B$15+$B$18+$B$19-'Cash Budget'!D34+'Cash Budget'!D35&lt;0,0,($B$14+$B$15+$B$18+$B$19-'Cash Budget'!D34+'Cash Budget'!D35)*'Unrestricted Revenue'!$B$11/12))</f>
        <v>1666.6666666666667</v>
      </c>
      <c r="H47" s="12">
        <f>IF($B$14+$B$15+$B$18-'Cash Budget'!E34&gt;0,$B$19*$B$11/12,IF($B$14+$B$15+$B$18+$B$19-'Cash Budget'!E34+'Cash Budget'!E35&lt;0,0,($B$14+$B$15+$B$18+$B$19-'Cash Budget'!E34+'Cash Budget'!E35)*'Unrestricted Revenue'!$B$11/12))</f>
        <v>1666.6666666666667</v>
      </c>
      <c r="I47" s="12">
        <f>IF($B$14+$B$15+$B$18-'Cash Budget'!F34&gt;0,$B$19*$B$11/12,IF($B$14+$B$15+$B$18+$B$19-'Cash Budget'!F34+'Cash Budget'!F35&lt;0,0,($B$14+$B$15+$B$18+$B$19-'Cash Budget'!F34+'Cash Budget'!F35)*'Unrestricted Revenue'!$B$11/12))</f>
        <v>1666.6666666666667</v>
      </c>
      <c r="J47" s="12">
        <f>IF($B$14+$B$15+$B$18-'Cash Budget'!G34&gt;0,$B$19*$B$11/12,IF($B$14+$B$15+$B$18+$B$19-'Cash Budget'!G34+'Cash Budget'!G35&lt;0,0,($B$14+$B$15+$B$18+$B$19-'Cash Budget'!G34+'Cash Budget'!G35)*'Unrestricted Revenue'!$B$11/12))</f>
        <v>1666.6666666666667</v>
      </c>
      <c r="K47" s="12">
        <f>IF($B$14+$B$15+$B$18-'Cash Budget'!H34&gt;0,$B$19*$B$11/12,IF($B$14+$B$15+$B$18+$B$19-'Cash Budget'!H34+'Cash Budget'!H35&lt;0,0,($B$14+$B$15+$B$18+$B$19-'Cash Budget'!H34+'Cash Budget'!H35)*'Unrestricted Revenue'!$B$11/12))</f>
        <v>1666.6666666666667</v>
      </c>
      <c r="L47" s="12">
        <f>IF($B$14+$B$15+$B$18-'Cash Budget'!I34&gt;0,$B$19*$B$11/12,IF($B$14+$B$15+$B$18+$B$19-'Cash Budget'!I34+'Cash Budget'!I35&lt;0,0,($B$14+$B$15+$B$18+$B$19-'Cash Budget'!I34+'Cash Budget'!I35)*'Unrestricted Revenue'!$B$11/12))</f>
        <v>1666.6666666666667</v>
      </c>
      <c r="M47" s="12">
        <f>IF($B$14+$B$15+$B$18-'Cash Budget'!J34&gt;0,$B$19*$B$11/12,IF($B$14+$B$15+$B$18+$B$19-'Cash Budget'!J34+'Cash Budget'!J35&lt;0,0,($B$14+$B$15+$B$18+$B$19-'Cash Budget'!J34+'Cash Budget'!J35)*'Unrestricted Revenue'!$B$11/12))</f>
        <v>1666.6666666666667</v>
      </c>
      <c r="N47" s="12">
        <f>IF($B$14+$B$15+$B$18-'Cash Budget'!K34&gt;0,$B$19*$B$11/12,IF($B$14+$B$15+$B$18+$B$19-'Cash Budget'!K34+'Cash Budget'!K35&lt;0,0,($B$14+$B$15+$B$18+$B$19-'Cash Budget'!K34+'Cash Budget'!K35)*'Unrestricted Revenue'!$B$11/12))</f>
        <v>1666.6666666666667</v>
      </c>
      <c r="O47" s="12">
        <f>IF($B$14+$B$15+$B$18-'Cash Budget'!L34&gt;0,$B$19*$B$11/12,IF($B$14+$B$15+$B$18+$B$19-'Cash Budget'!L34+'Cash Budget'!L35&lt;0,0,($B$14+$B$15+$B$18+$B$19-'Cash Budget'!L34+'Cash Budget'!L35)*'Unrestricted Revenue'!$B$11/12))</f>
        <v>1666.6666666666667</v>
      </c>
      <c r="P47" s="12">
        <f>SUM(D47:O47)</f>
        <v>20000</v>
      </c>
      <c r="Q47" s="12">
        <f>IF($B$14+$B$15+$B$18-'Cash Budget'!$M$34+'Cash Budget'!$M$35&gt;0,$B$19*$B$11,IF($B$14+$B$15+$B$18+$B$19-'Cash Budget'!$M$34+'Cash Budget'!$M$35&lt;0,0,($B$14+$B$15+$B$18+$B$19-'Cash Budget'!$M$34+'Cash Budget'!$M$35)*'Unrestricted Revenue'!$B$11))</f>
        <v>20000</v>
      </c>
      <c r="R47" s="12">
        <f>IF($B$14+$B$15+$B$18-'Cash Budget'!$M$34+'Cash Budget'!$M$35+'5 Year Summary '!$C$23&gt;0,$B$19*$B$11,IF($B$14+$B$15+$B$18+$B$19-'Cash Budget'!$M$34+'Cash Budget'!$M$35+'5 Year Summary '!$C$23&lt;0,0,($B$14+$B$15+$B$18+$B$19-'Cash Budget'!$M$34+'Cash Budget'!$M$35+'5 Year Summary '!$C$23)*'Unrestricted Revenue'!$B$11))</f>
        <v>20000</v>
      </c>
      <c r="S47" s="12">
        <f>IF($B$14+$B$15+$B$18-'Cash Budget'!$M$34+'Cash Budget'!$M$35+'5 Year Summary '!$C$23+'5 Year Summary '!$D$23&gt;0,$B$19*$B$11,IF($B$14+$B$15+$B$18+$B$19-'Cash Budget'!$M$34+'Cash Budget'!$M$35+'5 Year Summary '!$C$23+'5 Year Summary '!$D$23&lt;0,0,($B$14+$B$15+$B$18+$B$19-'Cash Budget'!$M$34+'Cash Budget'!$M$35+'5 Year Summary '!$C$23+'5 Year Summary '!$D$23)*'Unrestricted Revenue'!$B$11))</f>
        <v>20000</v>
      </c>
      <c r="T47" s="12">
        <f>IF($B$14+$B$15+$B$18-'Cash Budget'!$M$34+'Cash Budget'!$M$35+'5 Year Summary '!$C$23+'5 Year Summary '!$D$23+'5 Year Summary '!E23&gt;0,$B$19*$B$11,IF($B$14+$B$15+$B$18+$B$19-'Cash Budget'!$M$34+'Cash Budget'!$M$35+'5 Year Summary '!$C$23+'5 Year Summary '!$D$23+'5 Year Summary '!E23&lt;0,0,($B$14+$B$15+$B$18+$B$19-'Cash Budget'!$M$34+'Cash Budget'!$M$35+'5 Year Summary '!$C$23+'5 Year Summary '!$D$23+'5 Year Summary '!E23)*'Unrestricted Revenue'!$B$11))</f>
        <v>20000</v>
      </c>
    </row>
    <row r="48" spans="5:20" ht="12.7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>SUM(P44:P47)</f>
        <v>72507.66672160267</v>
      </c>
      <c r="Q48" s="12"/>
      <c r="R48" s="12"/>
      <c r="S48" s="12"/>
      <c r="T48" s="12"/>
    </row>
    <row r="49" spans="4:6" ht="12.75">
      <c r="D49" s="251" t="s">
        <v>153</v>
      </c>
      <c r="E49" s="251" t="s">
        <v>176</v>
      </c>
      <c r="F49" s="92"/>
    </row>
    <row r="50" spans="4:6" ht="12.75">
      <c r="D50" s="274" t="str">
        <f>$A$2</f>
        <v>Unrestricted</v>
      </c>
      <c r="E50" s="266">
        <f>'Chart of Accounts'!$E$3</f>
        <v>36892</v>
      </c>
      <c r="F50" s="197"/>
    </row>
    <row r="51" spans="4:6" ht="12.75">
      <c r="D51" s="274" t="str">
        <f aca="true" t="shared" si="6" ref="D51:D66">$A$2</f>
        <v>Unrestricted</v>
      </c>
      <c r="E51" s="266">
        <f>'Chart of Accounts'!$E$4</f>
        <v>36923</v>
      </c>
      <c r="F51" s="197"/>
    </row>
    <row r="52" spans="4:6" ht="12.75">
      <c r="D52" s="274" t="str">
        <f t="shared" si="6"/>
        <v>Unrestricted</v>
      </c>
      <c r="E52" s="266">
        <f>'Chart of Accounts'!$E$5</f>
        <v>36951</v>
      </c>
      <c r="F52" s="197"/>
    </row>
    <row r="53" spans="4:6" ht="12.75">
      <c r="D53" s="274" t="str">
        <f t="shared" si="6"/>
        <v>Unrestricted</v>
      </c>
      <c r="E53" s="266">
        <f>'Chart of Accounts'!$E$6</f>
        <v>36982</v>
      </c>
      <c r="F53" s="197"/>
    </row>
    <row r="54" spans="4:6" ht="12.75">
      <c r="D54" s="274" t="str">
        <f t="shared" si="6"/>
        <v>Unrestricted</v>
      </c>
      <c r="E54" s="266">
        <f>'Chart of Accounts'!$E$7</f>
        <v>37012</v>
      </c>
      <c r="F54" s="197"/>
    </row>
    <row r="55" spans="4:6" ht="12.75">
      <c r="D55" s="274" t="str">
        <f t="shared" si="6"/>
        <v>Unrestricted</v>
      </c>
      <c r="E55" s="266">
        <f>'Chart of Accounts'!$E$8</f>
        <v>37043</v>
      </c>
      <c r="F55" s="197"/>
    </row>
    <row r="56" spans="4:6" ht="12.75">
      <c r="D56" s="274" t="str">
        <f t="shared" si="6"/>
        <v>Unrestricted</v>
      </c>
      <c r="E56" s="266">
        <f>'Chart of Accounts'!$E$9</f>
        <v>37073</v>
      </c>
      <c r="F56" s="197"/>
    </row>
    <row r="57" spans="4:6" ht="12.75">
      <c r="D57" s="274" t="str">
        <f t="shared" si="6"/>
        <v>Unrestricted</v>
      </c>
      <c r="E57" s="266">
        <f>'Chart of Accounts'!$E$10</f>
        <v>37104</v>
      </c>
      <c r="F57" s="197"/>
    </row>
    <row r="58" spans="4:6" ht="12.75">
      <c r="D58" s="274" t="str">
        <f t="shared" si="6"/>
        <v>Unrestricted</v>
      </c>
      <c r="E58" s="266">
        <f>'Chart of Accounts'!$E$11</f>
        <v>37135</v>
      </c>
      <c r="F58" s="197"/>
    </row>
    <row r="59" spans="4:6" ht="12.75">
      <c r="D59" s="274" t="str">
        <f t="shared" si="6"/>
        <v>Unrestricted</v>
      </c>
      <c r="E59" s="266">
        <f>'Chart of Accounts'!$E$12</f>
        <v>37165</v>
      </c>
      <c r="F59" s="197"/>
    </row>
    <row r="60" spans="4:6" ht="12.75">
      <c r="D60" s="274" t="str">
        <f t="shared" si="6"/>
        <v>Unrestricted</v>
      </c>
      <c r="E60" s="266">
        <f>'Chart of Accounts'!$E$13</f>
        <v>37196</v>
      </c>
      <c r="F60" s="197"/>
    </row>
    <row r="61" spans="4:5" ht="12.75">
      <c r="D61" s="274" t="str">
        <f t="shared" si="6"/>
        <v>Unrestricted</v>
      </c>
      <c r="E61" s="266">
        <f>'Chart of Accounts'!$E$14</f>
        <v>37226</v>
      </c>
    </row>
    <row r="62" spans="4:6" ht="12.75">
      <c r="D62" s="274" t="str">
        <f t="shared" si="6"/>
        <v>Unrestricted</v>
      </c>
      <c r="E62" s="266" t="s">
        <v>188</v>
      </c>
      <c r="F62" s="197"/>
    </row>
    <row r="63" spans="4:6" ht="12.75">
      <c r="D63" s="274" t="str">
        <f t="shared" si="6"/>
        <v>Unrestricted</v>
      </c>
      <c r="E63" s="278">
        <f>'Chart of Accounts'!E16</f>
        <v>2002</v>
      </c>
      <c r="F63" s="197"/>
    </row>
    <row r="64" spans="4:6" ht="12.75">
      <c r="D64" s="274" t="str">
        <f t="shared" si="6"/>
        <v>Unrestricted</v>
      </c>
      <c r="E64" s="278">
        <f>'Chart of Accounts'!E17</f>
        <v>2003</v>
      </c>
      <c r="F64" s="197"/>
    </row>
    <row r="65" spans="4:6" ht="12.75">
      <c r="D65" s="274" t="str">
        <f t="shared" si="6"/>
        <v>Unrestricted</v>
      </c>
      <c r="E65" s="278">
        <f>'Chart of Accounts'!E18</f>
        <v>2004</v>
      </c>
      <c r="F65" s="197"/>
    </row>
    <row r="66" spans="4:6" ht="12.75">
      <c r="D66" s="274" t="str">
        <f t="shared" si="6"/>
        <v>Unrestricted</v>
      </c>
      <c r="E66" s="278">
        <f>'Chart of Accounts'!E19</f>
        <v>2005</v>
      </c>
      <c r="F66" s="197"/>
    </row>
    <row r="67" spans="4:5" ht="12.75">
      <c r="D67" s="269"/>
      <c r="E67" s="269"/>
    </row>
    <row r="68" spans="4:5" ht="12.75">
      <c r="D68" s="251" t="s">
        <v>153</v>
      </c>
      <c r="E68" s="251" t="s">
        <v>176</v>
      </c>
    </row>
    <row r="69" spans="4:5" ht="12.75">
      <c r="D69" s="274" t="str">
        <f>$A$2</f>
        <v>Unrestricted</v>
      </c>
      <c r="E69" s="220" t="s">
        <v>187</v>
      </c>
    </row>
    <row r="70" spans="4:5" ht="12.75">
      <c r="D70" s="269"/>
      <c r="E70" s="269"/>
    </row>
    <row r="71" spans="4:5" ht="12.75">
      <c r="D71" s="269"/>
      <c r="E71" s="269"/>
    </row>
    <row r="72" spans="4:5" ht="12.75">
      <c r="D72" s="269"/>
      <c r="E72" s="2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Q34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5.140625" style="2" customWidth="1"/>
    <col min="3" max="3" width="12.140625" style="2" customWidth="1"/>
    <col min="4" max="4" width="15.140625" style="2" customWidth="1"/>
    <col min="5" max="5" width="13.57421875" style="2" customWidth="1"/>
    <col min="6" max="8" width="14.7109375" style="2" customWidth="1"/>
    <col min="9" max="9" width="12.7109375" style="2" customWidth="1"/>
    <col min="10" max="10" width="14.8515625" style="2" customWidth="1"/>
    <col min="11" max="17" width="12.7109375" style="2" customWidth="1"/>
    <col min="18" max="16384" width="9.140625" style="2" customWidth="1"/>
  </cols>
  <sheetData>
    <row r="1" ht="12.75">
      <c r="A1" s="15" t="s">
        <v>131</v>
      </c>
    </row>
    <row r="2" spans="2:11" ht="12.75">
      <c r="B2" s="280">
        <f>'Chart of Accounts'!E15</f>
        <v>2001</v>
      </c>
      <c r="C2" s="280"/>
      <c r="D2" s="280">
        <f>'Chart of Accounts'!E16</f>
        <v>2002</v>
      </c>
      <c r="E2" s="280"/>
      <c r="F2" s="280">
        <f>'Chart of Accounts'!E17</f>
        <v>2003</v>
      </c>
      <c r="G2" s="280"/>
      <c r="H2" s="280">
        <f>'Chart of Accounts'!E18</f>
        <v>2004</v>
      </c>
      <c r="I2" s="280"/>
      <c r="J2" s="280">
        <f>'Chart of Accounts'!E19</f>
        <v>2005</v>
      </c>
      <c r="K2" s="280"/>
    </row>
    <row r="3" spans="1:11" ht="12.75">
      <c r="A3" s="77" t="s">
        <v>130</v>
      </c>
      <c r="B3" s="34" t="s">
        <v>128</v>
      </c>
      <c r="C3" s="90" t="s">
        <v>129</v>
      </c>
      <c r="D3" s="34" t="s">
        <v>128</v>
      </c>
      <c r="E3" s="90" t="s">
        <v>129</v>
      </c>
      <c r="F3" s="34" t="s">
        <v>128</v>
      </c>
      <c r="G3" s="90" t="s">
        <v>129</v>
      </c>
      <c r="H3" s="34" t="s">
        <v>128</v>
      </c>
      <c r="I3" s="90" t="s">
        <v>129</v>
      </c>
      <c r="J3" s="34" t="s">
        <v>128</v>
      </c>
      <c r="K3" s="90" t="s">
        <v>129</v>
      </c>
    </row>
    <row r="4" spans="1:11" ht="12.75">
      <c r="A4" s="2" t="str">
        <f>'Chart of Accounts'!$C$19</f>
        <v>Long Distance</v>
      </c>
      <c r="B4" s="23">
        <v>150</v>
      </c>
      <c r="C4" s="117">
        <f>B4*12</f>
        <v>1800</v>
      </c>
      <c r="D4" s="23">
        <v>200</v>
      </c>
      <c r="E4" s="117">
        <f>D4*12</f>
        <v>2400</v>
      </c>
      <c r="F4" s="23">
        <v>200</v>
      </c>
      <c r="G4" s="117">
        <f aca="true" t="shared" si="0" ref="G4:G9">F4*12</f>
        <v>2400</v>
      </c>
      <c r="H4" s="23">
        <v>200</v>
      </c>
      <c r="I4" s="117">
        <f aca="true" t="shared" si="1" ref="I4:I9">H4*12</f>
        <v>2400</v>
      </c>
      <c r="J4" s="23">
        <v>200</v>
      </c>
      <c r="K4" s="117">
        <f aca="true" t="shared" si="2" ref="K4:K9">J4*12</f>
        <v>2400</v>
      </c>
    </row>
    <row r="5" spans="1:11" ht="12.75">
      <c r="A5" s="2" t="str">
        <f>'Chart of Accounts'!$C$20</f>
        <v>Internet Access</v>
      </c>
      <c r="B5" s="23">
        <v>50</v>
      </c>
      <c r="C5" s="117">
        <f aca="true" t="shared" si="3" ref="C5:C16">B5*12</f>
        <v>600</v>
      </c>
      <c r="D5" s="23">
        <v>50</v>
      </c>
      <c r="E5" s="117">
        <f aca="true" t="shared" si="4" ref="E5:E16">D5*12</f>
        <v>600</v>
      </c>
      <c r="F5" s="23">
        <v>50</v>
      </c>
      <c r="G5" s="117">
        <f t="shared" si="0"/>
        <v>600</v>
      </c>
      <c r="H5" s="23">
        <v>50</v>
      </c>
      <c r="I5" s="117">
        <f t="shared" si="1"/>
        <v>600</v>
      </c>
      <c r="J5" s="23">
        <v>50</v>
      </c>
      <c r="K5" s="117">
        <f t="shared" si="2"/>
        <v>600</v>
      </c>
    </row>
    <row r="6" spans="1:11" ht="12.75">
      <c r="A6" s="2" t="str">
        <f>'Chart of Accounts'!$C$23</f>
        <v>Rent</v>
      </c>
      <c r="B6" s="23">
        <v>350</v>
      </c>
      <c r="C6" s="117">
        <f t="shared" si="3"/>
        <v>4200</v>
      </c>
      <c r="D6" s="23">
        <v>350</v>
      </c>
      <c r="E6" s="117">
        <f t="shared" si="4"/>
        <v>4200</v>
      </c>
      <c r="F6" s="23">
        <v>350</v>
      </c>
      <c r="G6" s="117">
        <f t="shared" si="0"/>
        <v>4200</v>
      </c>
      <c r="H6" s="23">
        <v>350</v>
      </c>
      <c r="I6" s="117">
        <f t="shared" si="1"/>
        <v>4200</v>
      </c>
      <c r="J6" s="23">
        <v>350</v>
      </c>
      <c r="K6" s="117">
        <f t="shared" si="2"/>
        <v>4200</v>
      </c>
    </row>
    <row r="7" spans="1:11" ht="12.75">
      <c r="A7" s="2" t="str">
        <f>'Chart of Accounts'!$C$24</f>
        <v>Repair/Maintenance</v>
      </c>
      <c r="B7" s="23">
        <v>75</v>
      </c>
      <c r="C7" s="117">
        <f t="shared" si="3"/>
        <v>900</v>
      </c>
      <c r="D7" s="23">
        <v>100</v>
      </c>
      <c r="E7" s="117">
        <f t="shared" si="4"/>
        <v>1200</v>
      </c>
      <c r="F7" s="23">
        <v>100</v>
      </c>
      <c r="G7" s="117">
        <f t="shared" si="0"/>
        <v>1200</v>
      </c>
      <c r="H7" s="23">
        <v>100</v>
      </c>
      <c r="I7" s="117">
        <f t="shared" si="1"/>
        <v>1200</v>
      </c>
      <c r="J7" s="23">
        <v>100</v>
      </c>
      <c r="K7" s="117">
        <f t="shared" si="2"/>
        <v>1200</v>
      </c>
    </row>
    <row r="8" spans="1:11" ht="12.75">
      <c r="A8" s="2" t="str">
        <f>'Chart of Accounts'!$C$25</f>
        <v>Utilities</v>
      </c>
      <c r="B8" s="23">
        <v>100</v>
      </c>
      <c r="C8" s="117">
        <f t="shared" si="3"/>
        <v>1200</v>
      </c>
      <c r="D8" s="23">
        <v>125</v>
      </c>
      <c r="E8" s="117">
        <f t="shared" si="4"/>
        <v>1500</v>
      </c>
      <c r="F8" s="23">
        <v>125</v>
      </c>
      <c r="G8" s="117">
        <f t="shared" si="0"/>
        <v>1500</v>
      </c>
      <c r="H8" s="23">
        <v>125</v>
      </c>
      <c r="I8" s="117">
        <f t="shared" si="1"/>
        <v>1500</v>
      </c>
      <c r="J8" s="23">
        <v>125</v>
      </c>
      <c r="K8" s="117">
        <f t="shared" si="2"/>
        <v>1500</v>
      </c>
    </row>
    <row r="9" spans="1:11" ht="12.75">
      <c r="A9" s="2" t="str">
        <f>'Chart of Accounts'!$D$4</f>
        <v>Equipment Purchase</v>
      </c>
      <c r="B9" s="23">
        <v>150</v>
      </c>
      <c r="C9" s="117">
        <f t="shared" si="3"/>
        <v>1800</v>
      </c>
      <c r="D9" s="23">
        <v>150</v>
      </c>
      <c r="E9" s="117">
        <f t="shared" si="4"/>
        <v>1800</v>
      </c>
      <c r="F9" s="23">
        <v>150</v>
      </c>
      <c r="G9" s="117">
        <f t="shared" si="0"/>
        <v>1800</v>
      </c>
      <c r="H9" s="23">
        <v>150</v>
      </c>
      <c r="I9" s="117">
        <f t="shared" si="1"/>
        <v>1800</v>
      </c>
      <c r="J9" s="23">
        <v>150</v>
      </c>
      <c r="K9" s="117">
        <f t="shared" si="2"/>
        <v>1800</v>
      </c>
    </row>
    <row r="10" spans="1:11" ht="12.75">
      <c r="A10" s="2" t="str">
        <f>'Chart of Accounts'!$D$5</f>
        <v>Equipment Maintenance/Repair</v>
      </c>
      <c r="B10" s="23">
        <v>35</v>
      </c>
      <c r="C10" s="117">
        <f t="shared" si="3"/>
        <v>420</v>
      </c>
      <c r="D10" s="23">
        <v>50</v>
      </c>
      <c r="E10" s="117">
        <f t="shared" si="4"/>
        <v>600</v>
      </c>
      <c r="F10" s="23">
        <v>50</v>
      </c>
      <c r="G10" s="117">
        <f aca="true" t="shared" si="5" ref="G10:G16">F10*12</f>
        <v>600</v>
      </c>
      <c r="H10" s="23">
        <v>50</v>
      </c>
      <c r="I10" s="117">
        <f aca="true" t="shared" si="6" ref="I10:I16">H10*12</f>
        <v>600</v>
      </c>
      <c r="J10" s="23">
        <v>50</v>
      </c>
      <c r="K10" s="117">
        <f aca="true" t="shared" si="7" ref="K10:K16">J10*12</f>
        <v>600</v>
      </c>
    </row>
    <row r="11" spans="1:11" ht="12.75">
      <c r="A11" s="2" t="str">
        <f>'Chart of Accounts'!$D$6</f>
        <v>Depreciation</v>
      </c>
      <c r="B11" s="23">
        <v>150</v>
      </c>
      <c r="C11" s="117">
        <f t="shared" si="3"/>
        <v>1800</v>
      </c>
      <c r="D11" s="23">
        <v>150</v>
      </c>
      <c r="E11" s="117">
        <f t="shared" si="4"/>
        <v>1800</v>
      </c>
      <c r="F11" s="23">
        <v>150</v>
      </c>
      <c r="G11" s="117">
        <f t="shared" si="5"/>
        <v>1800</v>
      </c>
      <c r="H11" s="23">
        <v>150</v>
      </c>
      <c r="I11" s="117">
        <f t="shared" si="6"/>
        <v>1800</v>
      </c>
      <c r="J11" s="23">
        <v>150</v>
      </c>
      <c r="K11" s="117">
        <f t="shared" si="7"/>
        <v>1800</v>
      </c>
    </row>
    <row r="12" spans="1:11" ht="12.75">
      <c r="A12" s="2" t="str">
        <f>'Chart of Accounts'!$D$9</f>
        <v>Supplies </v>
      </c>
      <c r="B12" s="23">
        <v>75</v>
      </c>
      <c r="C12" s="117">
        <f t="shared" si="3"/>
        <v>900</v>
      </c>
      <c r="D12" s="23">
        <v>100</v>
      </c>
      <c r="E12" s="117">
        <f t="shared" si="4"/>
        <v>1200</v>
      </c>
      <c r="F12" s="23">
        <v>100</v>
      </c>
      <c r="G12" s="117">
        <f t="shared" si="5"/>
        <v>1200</v>
      </c>
      <c r="H12" s="23">
        <v>100</v>
      </c>
      <c r="I12" s="117">
        <f t="shared" si="6"/>
        <v>1200</v>
      </c>
      <c r="J12" s="23">
        <v>100</v>
      </c>
      <c r="K12" s="117">
        <f t="shared" si="7"/>
        <v>1200</v>
      </c>
    </row>
    <row r="13" spans="1:11" ht="12.75">
      <c r="A13" s="2" t="str">
        <f>'Chart of Accounts'!$D$10</f>
        <v>Insurance</v>
      </c>
      <c r="B13" s="23">
        <v>250</v>
      </c>
      <c r="C13" s="117">
        <f t="shared" si="3"/>
        <v>3000</v>
      </c>
      <c r="D13" s="23">
        <v>250</v>
      </c>
      <c r="E13" s="117">
        <f t="shared" si="4"/>
        <v>3000</v>
      </c>
      <c r="F13" s="23">
        <v>250</v>
      </c>
      <c r="G13" s="117">
        <f t="shared" si="5"/>
        <v>3000</v>
      </c>
      <c r="H13" s="23">
        <v>250</v>
      </c>
      <c r="I13" s="117">
        <f t="shared" si="6"/>
        <v>3000</v>
      </c>
      <c r="J13" s="23">
        <v>250</v>
      </c>
      <c r="K13" s="117">
        <f t="shared" si="7"/>
        <v>3000</v>
      </c>
    </row>
    <row r="14" spans="1:11" ht="12.75">
      <c r="A14" s="2" t="str">
        <f>'Chart of Accounts'!$D$12</f>
        <v>Misc. Exp.</v>
      </c>
      <c r="B14" s="23">
        <v>50</v>
      </c>
      <c r="C14" s="117">
        <f t="shared" si="3"/>
        <v>600</v>
      </c>
      <c r="D14" s="23">
        <v>75</v>
      </c>
      <c r="E14" s="117">
        <f t="shared" si="4"/>
        <v>900</v>
      </c>
      <c r="F14" s="23">
        <v>75</v>
      </c>
      <c r="G14" s="117">
        <f t="shared" si="5"/>
        <v>900</v>
      </c>
      <c r="H14" s="23">
        <v>75</v>
      </c>
      <c r="I14" s="117">
        <f t="shared" si="6"/>
        <v>900</v>
      </c>
      <c r="J14" s="23">
        <v>75</v>
      </c>
      <c r="K14" s="117">
        <f t="shared" si="7"/>
        <v>900</v>
      </c>
    </row>
    <row r="15" spans="1:11" ht="12.75">
      <c r="A15" s="2" t="str">
        <f>'Chart of Accounts'!$D$16</f>
        <v>Postage</v>
      </c>
      <c r="B15" s="23">
        <v>125</v>
      </c>
      <c r="C15" s="117">
        <f t="shared" si="3"/>
        <v>1500</v>
      </c>
      <c r="D15" s="23">
        <v>125</v>
      </c>
      <c r="E15" s="117">
        <f t="shared" si="4"/>
        <v>1500</v>
      </c>
      <c r="F15" s="23">
        <v>150</v>
      </c>
      <c r="G15" s="117">
        <f t="shared" si="5"/>
        <v>1800</v>
      </c>
      <c r="H15" s="23">
        <v>175</v>
      </c>
      <c r="I15" s="117">
        <f t="shared" si="6"/>
        <v>2100</v>
      </c>
      <c r="J15" s="23">
        <v>200</v>
      </c>
      <c r="K15" s="117">
        <f t="shared" si="7"/>
        <v>2400</v>
      </c>
    </row>
    <row r="16" spans="1:11" ht="13.5" thickBot="1">
      <c r="A16" s="2" t="str">
        <f>'Chart of Accounts'!$D$21</f>
        <v>Printing</v>
      </c>
      <c r="B16" s="73">
        <v>50</v>
      </c>
      <c r="C16" s="120">
        <f t="shared" si="3"/>
        <v>600</v>
      </c>
      <c r="D16" s="73">
        <v>75</v>
      </c>
      <c r="E16" s="120">
        <f t="shared" si="4"/>
        <v>900</v>
      </c>
      <c r="F16" s="73">
        <v>75</v>
      </c>
      <c r="G16" s="120">
        <f t="shared" si="5"/>
        <v>900</v>
      </c>
      <c r="H16" s="73">
        <v>75</v>
      </c>
      <c r="I16" s="120">
        <f t="shared" si="6"/>
        <v>900</v>
      </c>
      <c r="J16" s="73">
        <v>75</v>
      </c>
      <c r="K16" s="120">
        <f t="shared" si="7"/>
        <v>900</v>
      </c>
    </row>
    <row r="17" spans="1:11" ht="12.75">
      <c r="A17" s="4" t="s">
        <v>132</v>
      </c>
      <c r="B17" s="12">
        <f aca="true" t="shared" si="8" ref="B17:K17">SUM(B4:B16)</f>
        <v>1610</v>
      </c>
      <c r="C17" s="117">
        <f t="shared" si="8"/>
        <v>19320</v>
      </c>
      <c r="D17" s="12">
        <f t="shared" si="8"/>
        <v>1800</v>
      </c>
      <c r="E17" s="117">
        <f t="shared" si="8"/>
        <v>21600</v>
      </c>
      <c r="F17" s="12">
        <f t="shared" si="8"/>
        <v>1825</v>
      </c>
      <c r="G17" s="117">
        <f t="shared" si="8"/>
        <v>21900</v>
      </c>
      <c r="H17" s="12">
        <f t="shared" si="8"/>
        <v>1850</v>
      </c>
      <c r="I17" s="117">
        <f t="shared" si="8"/>
        <v>22200</v>
      </c>
      <c r="J17" s="12">
        <f t="shared" si="8"/>
        <v>1875</v>
      </c>
      <c r="K17" s="117">
        <f t="shared" si="8"/>
        <v>22500</v>
      </c>
    </row>
    <row r="18" spans="2:3" ht="12.75">
      <c r="B18" s="69"/>
      <c r="C18" s="69"/>
    </row>
    <row r="19" spans="2:16" ht="12.75">
      <c r="B19" s="281" t="str">
        <f>'Chart of Accounts'!$A$2</f>
        <v>Conservation</v>
      </c>
      <c r="C19" s="281"/>
      <c r="D19" s="281"/>
      <c r="E19" s="281" t="str">
        <f>'Chart of Accounts'!$A$3</f>
        <v>Outreach</v>
      </c>
      <c r="F19" s="281"/>
      <c r="G19" s="281"/>
      <c r="H19" s="281"/>
      <c r="I19" s="281" t="str">
        <f>'Chart of Accounts'!$A$4</f>
        <v>Development</v>
      </c>
      <c r="J19" s="281"/>
      <c r="K19" s="281"/>
      <c r="L19" s="281"/>
      <c r="M19" s="281"/>
      <c r="N19" s="282" t="str">
        <f>'Chart of Accounts'!$A$5</f>
        <v>Administration</v>
      </c>
      <c r="O19" s="282"/>
      <c r="P19" s="282"/>
    </row>
    <row r="20" spans="1:17" ht="12.75">
      <c r="A20" s="77" t="s">
        <v>149</v>
      </c>
      <c r="B20" s="34" t="str">
        <f>'Conservation Program'!$B$2</f>
        <v>Protection</v>
      </c>
      <c r="C20" s="34" t="str">
        <f>'Conservation Program'!$C$2</f>
        <v>Stewardship</v>
      </c>
      <c r="D20" s="34" t="str">
        <f>'Conservation Program'!$D$2</f>
        <v>Monitoring</v>
      </c>
      <c r="E20" s="34" t="str">
        <f>'Outreach Program'!$B$2</f>
        <v>Landowner</v>
      </c>
      <c r="F20" s="34" t="str">
        <f>'Outreach Program'!$C$2</f>
        <v>Public</v>
      </c>
      <c r="G20" s="213" t="str">
        <f>'Outreach Program'!$D$2</f>
        <v>Networking</v>
      </c>
      <c r="H20" s="34" t="str">
        <f>'Outreach Program'!$E$2</f>
        <v>Advocacy</v>
      </c>
      <c r="I20" s="34" t="str">
        <f>'Development Program'!$B$2</f>
        <v>Major Donors</v>
      </c>
      <c r="J20" s="34" t="str">
        <f>'Development Program'!$C$2</f>
        <v>Membership</v>
      </c>
      <c r="K20" s="34" t="str">
        <f>'Development Program'!$D$2</f>
        <v>Contributions</v>
      </c>
      <c r="L20" s="34" t="str">
        <f>'Development Program'!$E$2</f>
        <v>Grants</v>
      </c>
      <c r="M20" s="34" t="str">
        <f>'Development Program'!$F$2</f>
        <v>Misc. Dev.</v>
      </c>
      <c r="N20" s="34" t="str">
        <f>'Administration Program'!$B$2</f>
        <v>Bd. Dev./ Mgt.</v>
      </c>
      <c r="O20" s="34" t="str">
        <f>'Administration Program'!$C$2</f>
        <v>Staff Dev.</v>
      </c>
      <c r="P20" s="34" t="str">
        <f>'Administration Program'!$D$2</f>
        <v>Gen. Admin.</v>
      </c>
      <c r="Q20" s="17" t="s">
        <v>46</v>
      </c>
    </row>
    <row r="21" spans="1:17" ht="12.75">
      <c r="A21" s="2" t="str">
        <f>'Chart of Accounts'!$C$19</f>
        <v>Long Distance</v>
      </c>
      <c r="B21" s="121">
        <f>B4*'Staff Expenses'!$B$60</f>
        <v>15.838607903930207</v>
      </c>
      <c r="C21" s="122">
        <f>B4*'Staff Expenses'!$C$60</f>
        <v>17.182933052429423</v>
      </c>
      <c r="D21" s="123">
        <f>B4*'Staff Expenses'!$D$60</f>
        <v>19.9264640677872</v>
      </c>
      <c r="E21" s="127">
        <f>B4*'Staff Expenses'!$E$60</f>
        <v>15.512816751497775</v>
      </c>
      <c r="F21" s="128">
        <f>B4*'Staff Expenses'!$F$60</f>
        <v>18.53893578878204</v>
      </c>
      <c r="G21" s="128">
        <f>B4*'Staff Expenses'!$G$60</f>
        <v>13.978155667602671</v>
      </c>
      <c r="H21" s="129">
        <f>B4*'Staff Expenses'!$H$60</f>
        <v>8.545974355246457</v>
      </c>
      <c r="I21" s="127">
        <f>B4*'Staff Expenses'!$I$60</f>
        <v>6.263689709357661</v>
      </c>
      <c r="J21" s="128">
        <f>B4*'Staff Expenses'!$J$60</f>
        <v>6.263689709357661</v>
      </c>
      <c r="K21" s="128">
        <f>B4*'Staff Expenses'!$K$60</f>
        <v>6.263689709357661</v>
      </c>
      <c r="L21" s="128">
        <f>B4*'Staff Expenses'!$L$60</f>
        <v>6.263689709357661</v>
      </c>
      <c r="M21" s="128">
        <f>B4*'Staff Expenses'!$M$60</f>
        <v>6.263689709357661</v>
      </c>
      <c r="N21" s="127">
        <f>B4*'Staff Expenses'!$N$60</f>
        <v>4.13563737528757</v>
      </c>
      <c r="O21" s="128">
        <f>B4*'Staff Expenses'!$O$60</f>
        <v>2.7913122267883494</v>
      </c>
      <c r="P21" s="129">
        <f>B4*'Staff Expenses'!$P$60</f>
        <v>2.23071426386</v>
      </c>
      <c r="Q21" s="114">
        <f aca="true" t="shared" si="9" ref="Q21:Q34">SUM(B21:P21)</f>
        <v>149.99999999999997</v>
      </c>
    </row>
    <row r="22" spans="1:17" ht="12.75">
      <c r="A22" s="2" t="str">
        <f>'Chart of Accounts'!$C$20</f>
        <v>Internet Access</v>
      </c>
      <c r="B22" s="124">
        <f>B5*'Staff Expenses'!$B$60</f>
        <v>5.279535967976735</v>
      </c>
      <c r="C22" s="125">
        <f>B5*'Staff Expenses'!$C$60</f>
        <v>5.7276443508098085</v>
      </c>
      <c r="D22" s="126">
        <f>B5*'Staff Expenses'!$D$60</f>
        <v>6.6421546892624</v>
      </c>
      <c r="E22" s="130">
        <f>B5*'Staff Expenses'!$E$60</f>
        <v>5.170938917165925</v>
      </c>
      <c r="F22" s="131">
        <f>B5*'Staff Expenses'!$F$60</f>
        <v>6.179645262927347</v>
      </c>
      <c r="G22" s="131">
        <f>B5*'Staff Expenses'!$G$60</f>
        <v>4.659385222534223</v>
      </c>
      <c r="H22" s="132">
        <f>B5*'Staff Expenses'!$H$60</f>
        <v>2.8486581184154853</v>
      </c>
      <c r="I22" s="130">
        <f>B5*'Staff Expenses'!$I$60</f>
        <v>2.087896569785887</v>
      </c>
      <c r="J22" s="131">
        <f>B5*'Staff Expenses'!$J$60</f>
        <v>2.087896569785887</v>
      </c>
      <c r="K22" s="131">
        <f>B5*'Staff Expenses'!$K$60</f>
        <v>2.087896569785887</v>
      </c>
      <c r="L22" s="131">
        <f>B5*'Staff Expenses'!$L$60</f>
        <v>2.087896569785887</v>
      </c>
      <c r="M22" s="131">
        <f>B5*'Staff Expenses'!$M$60</f>
        <v>2.087896569785887</v>
      </c>
      <c r="N22" s="130">
        <f>B5*'Staff Expenses'!$N$60</f>
        <v>1.3785457917625232</v>
      </c>
      <c r="O22" s="131">
        <f>B5*'Staff Expenses'!$O$60</f>
        <v>0.9304374089294498</v>
      </c>
      <c r="P22" s="132">
        <f>B5*'Staff Expenses'!$P$60</f>
        <v>0.7435714212866666</v>
      </c>
      <c r="Q22" s="117">
        <f t="shared" si="9"/>
        <v>50.00000000000002</v>
      </c>
    </row>
    <row r="23" spans="1:17" ht="12.75">
      <c r="A23" s="2" t="str">
        <f>'Chart of Accounts'!$C$23</f>
        <v>Rent</v>
      </c>
      <c r="B23" s="124">
        <f>B6*'Staff Expenses'!$B$60</f>
        <v>36.95675177583715</v>
      </c>
      <c r="C23" s="125">
        <f>B6*'Staff Expenses'!$C$60</f>
        <v>40.09351045566866</v>
      </c>
      <c r="D23" s="126">
        <f>B6*'Staff Expenses'!$D$60</f>
        <v>46.4950828248368</v>
      </c>
      <c r="E23" s="130">
        <f>B6*'Staff Expenses'!$E$60</f>
        <v>36.19657242016147</v>
      </c>
      <c r="F23" s="131">
        <f>B6*'Staff Expenses'!$F$60</f>
        <v>43.257516840491434</v>
      </c>
      <c r="G23" s="131">
        <f>B6*'Staff Expenses'!$G$60</f>
        <v>32.61569655773957</v>
      </c>
      <c r="H23" s="132">
        <f>B6*'Staff Expenses'!$H$60</f>
        <v>19.940606828908397</v>
      </c>
      <c r="I23" s="130">
        <f>B6*'Staff Expenses'!$I$60</f>
        <v>14.61527598850121</v>
      </c>
      <c r="J23" s="131">
        <f>B6*'Staff Expenses'!$J$60</f>
        <v>14.61527598850121</v>
      </c>
      <c r="K23" s="131">
        <f>B6*'Staff Expenses'!$K$60</f>
        <v>14.61527598850121</v>
      </c>
      <c r="L23" s="131">
        <f>B6*'Staff Expenses'!$L$60</f>
        <v>14.61527598850121</v>
      </c>
      <c r="M23" s="131">
        <f>B6*'Staff Expenses'!$M$60</f>
        <v>14.61527598850121</v>
      </c>
      <c r="N23" s="130">
        <f>B6*'Staff Expenses'!$N$60</f>
        <v>9.649820542337663</v>
      </c>
      <c r="O23" s="131">
        <f>B6*'Staff Expenses'!$O$60</f>
        <v>6.513061862506149</v>
      </c>
      <c r="P23" s="132">
        <f>B6*'Staff Expenses'!$P$60</f>
        <v>5.204999949006667</v>
      </c>
      <c r="Q23" s="117">
        <f t="shared" si="9"/>
        <v>349.9999999999999</v>
      </c>
    </row>
    <row r="24" spans="1:17" ht="12.75">
      <c r="A24" s="2" t="str">
        <f>'Chart of Accounts'!$C$24</f>
        <v>Repair/Maintenance</v>
      </c>
      <c r="B24" s="124">
        <f>B7*'Staff Expenses'!$B$60</f>
        <v>7.919303951965103</v>
      </c>
      <c r="C24" s="125">
        <f>B7*'Staff Expenses'!$C$60</f>
        <v>8.591466526214711</v>
      </c>
      <c r="D24" s="126">
        <f>B7*'Staff Expenses'!$D$60</f>
        <v>9.9632320338936</v>
      </c>
      <c r="E24" s="130">
        <f>B7*'Staff Expenses'!$E$60</f>
        <v>7.7564083757488875</v>
      </c>
      <c r="F24" s="131">
        <f>B7*'Staff Expenses'!$F$60</f>
        <v>9.26946789439102</v>
      </c>
      <c r="G24" s="131">
        <f>B7*'Staff Expenses'!$G$60</f>
        <v>6.9890778338013355</v>
      </c>
      <c r="H24" s="132">
        <f>B7*'Staff Expenses'!$H$60</f>
        <v>4.272987177623229</v>
      </c>
      <c r="I24" s="130">
        <f>B7*'Staff Expenses'!$I$60</f>
        <v>3.1318448546788304</v>
      </c>
      <c r="J24" s="131">
        <f>B7*'Staff Expenses'!$J$60</f>
        <v>3.1318448546788304</v>
      </c>
      <c r="K24" s="131">
        <f>B7*'Staff Expenses'!$K$60</f>
        <v>3.1318448546788304</v>
      </c>
      <c r="L24" s="131">
        <f>B7*'Staff Expenses'!$L$60</f>
        <v>3.1318448546788304</v>
      </c>
      <c r="M24" s="131">
        <f>B7*'Staff Expenses'!$M$60</f>
        <v>3.1318448546788304</v>
      </c>
      <c r="N24" s="130">
        <f>B7*'Staff Expenses'!$N$60</f>
        <v>2.067818687643785</v>
      </c>
      <c r="O24" s="131">
        <f>B7*'Staff Expenses'!$O$60</f>
        <v>1.3956561133941747</v>
      </c>
      <c r="P24" s="132">
        <f>B7*'Staff Expenses'!$P$60</f>
        <v>1.11535713193</v>
      </c>
      <c r="Q24" s="117">
        <f t="shared" si="9"/>
        <v>74.99999999999999</v>
      </c>
    </row>
    <row r="25" spans="1:17" ht="12.75">
      <c r="A25" s="2" t="str">
        <f>'Chart of Accounts'!$C$25</f>
        <v>Utilities</v>
      </c>
      <c r="B25" s="124">
        <f>B8*'Staff Expenses'!$B$60</f>
        <v>10.55907193595347</v>
      </c>
      <c r="C25" s="125">
        <f>B8*'Staff Expenses'!$C$60</f>
        <v>11.455288701619617</v>
      </c>
      <c r="D25" s="126">
        <f>B8*'Staff Expenses'!$D$60</f>
        <v>13.2843093785248</v>
      </c>
      <c r="E25" s="130">
        <f>B8*'Staff Expenses'!$E$60</f>
        <v>10.34187783433185</v>
      </c>
      <c r="F25" s="131">
        <f>B8*'Staff Expenses'!$F$60</f>
        <v>12.359290525854695</v>
      </c>
      <c r="G25" s="131">
        <f>B8*'Staff Expenses'!$G$60</f>
        <v>9.318770445068447</v>
      </c>
      <c r="H25" s="132">
        <f>B8*'Staff Expenses'!$H$60</f>
        <v>5.697316236830971</v>
      </c>
      <c r="I25" s="130">
        <f>B8*'Staff Expenses'!$I$60</f>
        <v>4.175793139571774</v>
      </c>
      <c r="J25" s="131">
        <f>B8*'Staff Expenses'!$J$60</f>
        <v>4.175793139571774</v>
      </c>
      <c r="K25" s="131">
        <f>B8*'Staff Expenses'!$K$60</f>
        <v>4.175793139571774</v>
      </c>
      <c r="L25" s="131">
        <f>B8*'Staff Expenses'!$L$60</f>
        <v>4.175793139571774</v>
      </c>
      <c r="M25" s="131">
        <f>B8*'Staff Expenses'!$M$60</f>
        <v>4.175793139571774</v>
      </c>
      <c r="N25" s="130">
        <f>B8*'Staff Expenses'!$N$60</f>
        <v>2.7570915835250465</v>
      </c>
      <c r="O25" s="131">
        <f>B8*'Staff Expenses'!$O$60</f>
        <v>1.8608748178588996</v>
      </c>
      <c r="P25" s="132">
        <f>B8*'Staff Expenses'!$P$60</f>
        <v>1.4871428425733333</v>
      </c>
      <c r="Q25" s="117">
        <f t="shared" si="9"/>
        <v>100.00000000000004</v>
      </c>
    </row>
    <row r="26" spans="1:17" ht="12.75">
      <c r="A26" s="2" t="str">
        <f>'Chart of Accounts'!$D$4</f>
        <v>Equipment Purchase</v>
      </c>
      <c r="B26" s="124">
        <f>B9*'Staff Expenses'!$B$60</f>
        <v>15.838607903930207</v>
      </c>
      <c r="C26" s="125">
        <f>B9*'Staff Expenses'!$C$60</f>
        <v>17.182933052429423</v>
      </c>
      <c r="D26" s="126">
        <f>B9*'Staff Expenses'!$D$60</f>
        <v>19.9264640677872</v>
      </c>
      <c r="E26" s="130">
        <f>B9*'Staff Expenses'!$E$60</f>
        <v>15.512816751497775</v>
      </c>
      <c r="F26" s="131">
        <f>B9*'Staff Expenses'!$F$60</f>
        <v>18.53893578878204</v>
      </c>
      <c r="G26" s="131">
        <f>B9*'Staff Expenses'!$G$60</f>
        <v>13.978155667602671</v>
      </c>
      <c r="H26" s="132">
        <f>B9*'Staff Expenses'!$H$60</f>
        <v>8.545974355246457</v>
      </c>
      <c r="I26" s="130">
        <f>B9*'Staff Expenses'!$I$60</f>
        <v>6.263689709357661</v>
      </c>
      <c r="J26" s="131">
        <f>B9*'Staff Expenses'!$J$60</f>
        <v>6.263689709357661</v>
      </c>
      <c r="K26" s="131">
        <f>B9*'Staff Expenses'!$K$60</f>
        <v>6.263689709357661</v>
      </c>
      <c r="L26" s="131">
        <f>B9*'Staff Expenses'!$L$60</f>
        <v>6.263689709357661</v>
      </c>
      <c r="M26" s="131">
        <f>B9*'Staff Expenses'!$M$60</f>
        <v>6.263689709357661</v>
      </c>
      <c r="N26" s="130">
        <f>B9*'Staff Expenses'!$N$60</f>
        <v>4.13563737528757</v>
      </c>
      <c r="O26" s="131">
        <f>B9*'Staff Expenses'!$O$60</f>
        <v>2.7913122267883494</v>
      </c>
      <c r="P26" s="132">
        <f>B9*'Staff Expenses'!$P$60</f>
        <v>2.23071426386</v>
      </c>
      <c r="Q26" s="117">
        <f t="shared" si="9"/>
        <v>149.99999999999997</v>
      </c>
    </row>
    <row r="27" spans="1:17" ht="12.75">
      <c r="A27" s="2" t="str">
        <f>'Chart of Accounts'!$D$5</f>
        <v>Equipment Maintenance/Repair</v>
      </c>
      <c r="B27" s="124">
        <f>B10*'Staff Expenses'!$B$60</f>
        <v>3.695675177583715</v>
      </c>
      <c r="C27" s="125">
        <f>B10*'Staff Expenses'!$C$60</f>
        <v>4.0093510455668655</v>
      </c>
      <c r="D27" s="126">
        <f>B10*'Staff Expenses'!$D$60</f>
        <v>4.64950828248368</v>
      </c>
      <c r="E27" s="130">
        <f>B10*'Staff Expenses'!$E$60</f>
        <v>3.6196572420161477</v>
      </c>
      <c r="F27" s="131">
        <f>B10*'Staff Expenses'!$F$60</f>
        <v>4.325751684049143</v>
      </c>
      <c r="G27" s="131">
        <f>B10*'Staff Expenses'!$G$60</f>
        <v>3.2615696557739566</v>
      </c>
      <c r="H27" s="132">
        <f>B10*'Staff Expenses'!$H$60</f>
        <v>1.9940606828908398</v>
      </c>
      <c r="I27" s="130">
        <f>B10*'Staff Expenses'!$I$60</f>
        <v>1.4615275988501208</v>
      </c>
      <c r="J27" s="131">
        <f>B10*'Staff Expenses'!$J$60</f>
        <v>1.4615275988501208</v>
      </c>
      <c r="K27" s="131">
        <f>B10*'Staff Expenses'!$K$60</f>
        <v>1.4615275988501208</v>
      </c>
      <c r="L27" s="131">
        <f>B10*'Staff Expenses'!$L$60</f>
        <v>1.4615275988501208</v>
      </c>
      <c r="M27" s="131">
        <f>B10*'Staff Expenses'!$M$60</f>
        <v>1.4615275988501208</v>
      </c>
      <c r="N27" s="130">
        <f>B10*'Staff Expenses'!$N$60</f>
        <v>0.9649820542337663</v>
      </c>
      <c r="O27" s="131">
        <f>B10*'Staff Expenses'!$O$60</f>
        <v>0.6513061862506149</v>
      </c>
      <c r="P27" s="132">
        <f>B10*'Staff Expenses'!$P$60</f>
        <v>0.5204999949006667</v>
      </c>
      <c r="Q27" s="117">
        <f t="shared" si="9"/>
        <v>35.00000000000001</v>
      </c>
    </row>
    <row r="28" spans="1:17" ht="12.75">
      <c r="A28" s="2" t="str">
        <f>'Chart of Accounts'!$D$6</f>
        <v>Depreciation</v>
      </c>
      <c r="B28" s="124">
        <f>B11*'Staff Expenses'!$B$60</f>
        <v>15.838607903930207</v>
      </c>
      <c r="C28" s="125">
        <f>B11*'Staff Expenses'!$C$60</f>
        <v>17.182933052429423</v>
      </c>
      <c r="D28" s="126">
        <f>B11*'Staff Expenses'!$D$60</f>
        <v>19.9264640677872</v>
      </c>
      <c r="E28" s="130">
        <f>B11*'Staff Expenses'!$E$60</f>
        <v>15.512816751497775</v>
      </c>
      <c r="F28" s="131">
        <f>B11*'Staff Expenses'!$F$60</f>
        <v>18.53893578878204</v>
      </c>
      <c r="G28" s="131">
        <f>B11*'Staff Expenses'!$G$60</f>
        <v>13.978155667602671</v>
      </c>
      <c r="H28" s="132">
        <f>B11*'Staff Expenses'!$H$60</f>
        <v>8.545974355246457</v>
      </c>
      <c r="I28" s="130">
        <f>B11*'Staff Expenses'!$I$60</f>
        <v>6.263689709357661</v>
      </c>
      <c r="J28" s="131">
        <f>B11*'Staff Expenses'!$J$60</f>
        <v>6.263689709357661</v>
      </c>
      <c r="K28" s="131">
        <f>B11*'Staff Expenses'!$K$60</f>
        <v>6.263689709357661</v>
      </c>
      <c r="L28" s="131">
        <f>B11*'Staff Expenses'!$L$60</f>
        <v>6.263689709357661</v>
      </c>
      <c r="M28" s="131">
        <f>B11*'Staff Expenses'!$M$60</f>
        <v>6.263689709357661</v>
      </c>
      <c r="N28" s="130">
        <f>B11*'Staff Expenses'!$N$60</f>
        <v>4.13563737528757</v>
      </c>
      <c r="O28" s="131">
        <f>B11*'Staff Expenses'!$O$60</f>
        <v>2.7913122267883494</v>
      </c>
      <c r="P28" s="132">
        <f>B11*'Staff Expenses'!$P$60</f>
        <v>2.23071426386</v>
      </c>
      <c r="Q28" s="117">
        <f t="shared" si="9"/>
        <v>149.99999999999997</v>
      </c>
    </row>
    <row r="29" spans="1:17" ht="12.75">
      <c r="A29" s="2" t="str">
        <f>'Chart of Accounts'!$D$9</f>
        <v>Supplies </v>
      </c>
      <c r="B29" s="124">
        <f>B12*'Staff Expenses'!$B$60</f>
        <v>7.919303951965103</v>
      </c>
      <c r="C29" s="125">
        <f>B12*'Staff Expenses'!$C$60</f>
        <v>8.591466526214711</v>
      </c>
      <c r="D29" s="126">
        <f>B12*'Staff Expenses'!$D$60</f>
        <v>9.9632320338936</v>
      </c>
      <c r="E29" s="130">
        <f>B12*'Staff Expenses'!$E$60</f>
        <v>7.7564083757488875</v>
      </c>
      <c r="F29" s="131">
        <f>B12*'Staff Expenses'!$F$60</f>
        <v>9.26946789439102</v>
      </c>
      <c r="G29" s="131">
        <f>B12*'Staff Expenses'!$G$60</f>
        <v>6.9890778338013355</v>
      </c>
      <c r="H29" s="132">
        <f>B12*'Staff Expenses'!$H$60</f>
        <v>4.272987177623229</v>
      </c>
      <c r="I29" s="130">
        <f>B12*'Staff Expenses'!$I$60</f>
        <v>3.1318448546788304</v>
      </c>
      <c r="J29" s="131">
        <f>B12*'Staff Expenses'!$J$60</f>
        <v>3.1318448546788304</v>
      </c>
      <c r="K29" s="131">
        <f>B12*'Staff Expenses'!$K$60</f>
        <v>3.1318448546788304</v>
      </c>
      <c r="L29" s="131">
        <f>B12*'Staff Expenses'!$L$60</f>
        <v>3.1318448546788304</v>
      </c>
      <c r="M29" s="131">
        <f>B12*'Staff Expenses'!$M$60</f>
        <v>3.1318448546788304</v>
      </c>
      <c r="N29" s="130">
        <f>B12*'Staff Expenses'!$N$60</f>
        <v>2.067818687643785</v>
      </c>
      <c r="O29" s="131">
        <f>B12*'Staff Expenses'!$O$60</f>
        <v>1.3956561133941747</v>
      </c>
      <c r="P29" s="132">
        <f>B12*'Staff Expenses'!$P$60</f>
        <v>1.11535713193</v>
      </c>
      <c r="Q29" s="117">
        <f t="shared" si="9"/>
        <v>74.99999999999999</v>
      </c>
    </row>
    <row r="30" spans="1:17" ht="12.75">
      <c r="A30" s="2" t="str">
        <f>'Chart of Accounts'!$D$10</f>
        <v>Insurance</v>
      </c>
      <c r="B30" s="124">
        <f>B13*'Staff Expenses'!$B$60</f>
        <v>26.397679839883676</v>
      </c>
      <c r="C30" s="125">
        <f>B13*'Staff Expenses'!$C$60</f>
        <v>28.63822175404904</v>
      </c>
      <c r="D30" s="126">
        <f>B13*'Staff Expenses'!$D$60</f>
        <v>33.210773446312</v>
      </c>
      <c r="E30" s="130">
        <f>B13*'Staff Expenses'!$E$60</f>
        <v>25.854694585829627</v>
      </c>
      <c r="F30" s="131">
        <f>B13*'Staff Expenses'!$F$60</f>
        <v>30.898226314636737</v>
      </c>
      <c r="G30" s="131">
        <f>B13*'Staff Expenses'!$G$60</f>
        <v>23.29692611267112</v>
      </c>
      <c r="H30" s="132">
        <f>B13*'Staff Expenses'!$H$60</f>
        <v>14.243290592077427</v>
      </c>
      <c r="I30" s="130">
        <f>B13*'Staff Expenses'!$I$60</f>
        <v>10.439482848929435</v>
      </c>
      <c r="J30" s="131">
        <f>B13*'Staff Expenses'!$J$60</f>
        <v>10.439482848929435</v>
      </c>
      <c r="K30" s="131">
        <f>B13*'Staff Expenses'!$K$60</f>
        <v>10.439482848929435</v>
      </c>
      <c r="L30" s="131">
        <f>B13*'Staff Expenses'!$L$60</f>
        <v>10.439482848929435</v>
      </c>
      <c r="M30" s="131">
        <f>B13*'Staff Expenses'!$M$60</f>
        <v>10.439482848929435</v>
      </c>
      <c r="N30" s="130">
        <f>B13*'Staff Expenses'!$N$60</f>
        <v>6.892728958812616</v>
      </c>
      <c r="O30" s="131">
        <f>B13*'Staff Expenses'!$O$60</f>
        <v>4.652187044647249</v>
      </c>
      <c r="P30" s="132">
        <f>B13*'Staff Expenses'!$P$60</f>
        <v>3.7178571064333332</v>
      </c>
      <c r="Q30" s="117">
        <f t="shared" si="9"/>
        <v>249.99999999999997</v>
      </c>
    </row>
    <row r="31" spans="1:17" ht="12.75">
      <c r="A31" s="2" t="str">
        <f>'Chart of Accounts'!$D$12</f>
        <v>Misc. Exp.</v>
      </c>
      <c r="B31" s="124">
        <f>B14*'Staff Expenses'!$B$60</f>
        <v>5.279535967976735</v>
      </c>
      <c r="C31" s="125">
        <f>B14*'Staff Expenses'!$C$60</f>
        <v>5.7276443508098085</v>
      </c>
      <c r="D31" s="126">
        <f>B14*'Staff Expenses'!$D$60</f>
        <v>6.6421546892624</v>
      </c>
      <c r="E31" s="130">
        <f>B14*'Staff Expenses'!$E$60</f>
        <v>5.170938917165925</v>
      </c>
      <c r="F31" s="131">
        <f>B14*'Staff Expenses'!$F$60</f>
        <v>6.179645262927347</v>
      </c>
      <c r="G31" s="131">
        <f>B14*'Staff Expenses'!$G$60</f>
        <v>4.659385222534223</v>
      </c>
      <c r="H31" s="132">
        <f>B14*'Staff Expenses'!$H$60</f>
        <v>2.8486581184154853</v>
      </c>
      <c r="I31" s="130">
        <f>B14*'Staff Expenses'!$I$60</f>
        <v>2.087896569785887</v>
      </c>
      <c r="J31" s="131">
        <f>B14*'Staff Expenses'!$J$60</f>
        <v>2.087896569785887</v>
      </c>
      <c r="K31" s="131">
        <f>B14*'Staff Expenses'!$K$60</f>
        <v>2.087896569785887</v>
      </c>
      <c r="L31" s="131">
        <f>B14*'Staff Expenses'!$L$60</f>
        <v>2.087896569785887</v>
      </c>
      <c r="M31" s="131">
        <f>B14*'Staff Expenses'!$M$60</f>
        <v>2.087896569785887</v>
      </c>
      <c r="N31" s="130">
        <f>B14*'Staff Expenses'!$N$60</f>
        <v>1.3785457917625232</v>
      </c>
      <c r="O31" s="131">
        <f>B14*'Staff Expenses'!$O$60</f>
        <v>0.9304374089294498</v>
      </c>
      <c r="P31" s="132">
        <f>B14*'Staff Expenses'!$P$60</f>
        <v>0.7435714212866666</v>
      </c>
      <c r="Q31" s="117">
        <f t="shared" si="9"/>
        <v>50.00000000000002</v>
      </c>
    </row>
    <row r="32" spans="1:17" ht="12.75">
      <c r="A32" s="2" t="str">
        <f>'Chart of Accounts'!D16</f>
        <v>Postage</v>
      </c>
      <c r="B32" s="124">
        <f>B15*'Staff Expenses'!$B$60</f>
        <v>13.198839919941838</v>
      </c>
      <c r="C32" s="125">
        <f>B15*'Staff Expenses'!$C$60</f>
        <v>14.31911087702452</v>
      </c>
      <c r="D32" s="126">
        <f>B15*'Staff Expenses'!$D$60</f>
        <v>16.605386723156</v>
      </c>
      <c r="E32" s="130">
        <f>B15*'Staff Expenses'!$E$60</f>
        <v>12.927347292914813</v>
      </c>
      <c r="F32" s="131">
        <f>B15*'Staff Expenses'!$F$60</f>
        <v>15.449113157318369</v>
      </c>
      <c r="G32" s="131">
        <f>B15*'Staff Expenses'!$G$60</f>
        <v>11.64846305633556</v>
      </c>
      <c r="H32" s="132">
        <f>B15*'Staff Expenses'!$H$60</f>
        <v>7.1216452960387135</v>
      </c>
      <c r="I32" s="130">
        <f>B15*'Staff Expenses'!$I$60</f>
        <v>5.219741424464718</v>
      </c>
      <c r="J32" s="131">
        <f>B15*'Staff Expenses'!$J$60</f>
        <v>5.219741424464718</v>
      </c>
      <c r="K32" s="131">
        <f>B15*'Staff Expenses'!$K$60</f>
        <v>5.219741424464718</v>
      </c>
      <c r="L32" s="131">
        <f>B15*'Staff Expenses'!$L$60</f>
        <v>5.219741424464718</v>
      </c>
      <c r="M32" s="131">
        <f>B15*'Staff Expenses'!$M$60</f>
        <v>5.219741424464718</v>
      </c>
      <c r="N32" s="130">
        <f>B15*'Staff Expenses'!$N$60</f>
        <v>3.446364479406308</v>
      </c>
      <c r="O32" s="131">
        <f>B15*'Staff Expenses'!$O$60</f>
        <v>2.3260935223236245</v>
      </c>
      <c r="P32" s="132">
        <f>B15*'Staff Expenses'!$P$60</f>
        <v>1.8589285532166666</v>
      </c>
      <c r="Q32" s="117">
        <f t="shared" si="9"/>
        <v>124.99999999999999</v>
      </c>
    </row>
    <row r="33" spans="1:17" ht="12.75">
      <c r="A33" s="2" t="str">
        <f>'Chart of Accounts'!$D$21</f>
        <v>Printing</v>
      </c>
      <c r="B33" s="181">
        <f>B16*'Staff Expenses'!$B$60</f>
        <v>5.279535967976735</v>
      </c>
      <c r="C33" s="182">
        <f>B16*'Staff Expenses'!$C$60</f>
        <v>5.7276443508098085</v>
      </c>
      <c r="D33" s="183">
        <f>B16*'Staff Expenses'!$D$60</f>
        <v>6.6421546892624</v>
      </c>
      <c r="E33" s="184">
        <f>B16*'Staff Expenses'!$E$60</f>
        <v>5.170938917165925</v>
      </c>
      <c r="F33" s="185">
        <f>B16*'Staff Expenses'!$F$60</f>
        <v>6.179645262927347</v>
      </c>
      <c r="G33" s="185">
        <f>B16*'Staff Expenses'!$G$60</f>
        <v>4.659385222534223</v>
      </c>
      <c r="H33" s="186">
        <f>B16*'Staff Expenses'!$H$60</f>
        <v>2.8486581184154853</v>
      </c>
      <c r="I33" s="184">
        <f>B16*'Staff Expenses'!$I$60</f>
        <v>2.087896569785887</v>
      </c>
      <c r="J33" s="185">
        <f>B16*'Staff Expenses'!$J$60</f>
        <v>2.087896569785887</v>
      </c>
      <c r="K33" s="185">
        <f>B16*'Staff Expenses'!$K$60</f>
        <v>2.087896569785887</v>
      </c>
      <c r="L33" s="185">
        <f>B16*'Staff Expenses'!$L$60</f>
        <v>2.087896569785887</v>
      </c>
      <c r="M33" s="185">
        <f>B16*'Staff Expenses'!$M$60</f>
        <v>2.087896569785887</v>
      </c>
      <c r="N33" s="184">
        <f>B16*'Staff Expenses'!$N$60</f>
        <v>1.3785457917625232</v>
      </c>
      <c r="O33" s="185">
        <f>B16*'Staff Expenses'!$O$60</f>
        <v>0.9304374089294498</v>
      </c>
      <c r="P33" s="186">
        <f>B16*'Staff Expenses'!$P$60</f>
        <v>0.7435714212866666</v>
      </c>
      <c r="Q33" s="198">
        <f t="shared" si="9"/>
        <v>50.00000000000002</v>
      </c>
    </row>
    <row r="34" spans="1:17" ht="12.75">
      <c r="A34" s="4" t="s">
        <v>133</v>
      </c>
      <c r="B34" s="133">
        <f aca="true" t="shared" si="10" ref="B34:M34">SUM(B21:B33)</f>
        <v>170.00105816885085</v>
      </c>
      <c r="C34" s="133">
        <f t="shared" si="10"/>
        <v>184.4301480960758</v>
      </c>
      <c r="D34" s="133">
        <f t="shared" si="10"/>
        <v>213.8773809942493</v>
      </c>
      <c r="E34" s="133">
        <f t="shared" si="10"/>
        <v>166.5042331327428</v>
      </c>
      <c r="F34" s="133">
        <f t="shared" si="10"/>
        <v>198.9845774662606</v>
      </c>
      <c r="G34" s="133">
        <f t="shared" si="10"/>
        <v>150.032204165602</v>
      </c>
      <c r="H34" s="133">
        <f t="shared" si="10"/>
        <v>91.72679141297863</v>
      </c>
      <c r="I34" s="133">
        <f t="shared" si="10"/>
        <v>67.23026954710556</v>
      </c>
      <c r="J34" s="133">
        <f t="shared" si="10"/>
        <v>67.23026954710556</v>
      </c>
      <c r="K34" s="133">
        <f t="shared" si="10"/>
        <v>67.23026954710556</v>
      </c>
      <c r="L34" s="133">
        <f t="shared" si="10"/>
        <v>67.23026954710556</v>
      </c>
      <c r="M34" s="133">
        <f t="shared" si="10"/>
        <v>67.23026954710556</v>
      </c>
      <c r="N34" s="133">
        <f>SUM(N21:N33)</f>
        <v>44.389174494753256</v>
      </c>
      <c r="O34" s="133">
        <f>SUM(O21:O33)</f>
        <v>29.960084567528284</v>
      </c>
      <c r="P34" s="133">
        <f>SUM(P21:P33)</f>
        <v>23.942999765430667</v>
      </c>
      <c r="Q34" s="14">
        <f t="shared" si="9"/>
        <v>1609.9999999999998</v>
      </c>
    </row>
  </sheetData>
  <sheetProtection sheet="1" objects="1" scenarios="1"/>
  <mergeCells count="9">
    <mergeCell ref="B19:D19"/>
    <mergeCell ref="E19:H19"/>
    <mergeCell ref="I19:M19"/>
    <mergeCell ref="N19:P19"/>
    <mergeCell ref="J2:K2"/>
    <mergeCell ref="H2:I2"/>
    <mergeCell ref="B2:C2"/>
    <mergeCell ref="D2:E2"/>
    <mergeCell ref="F2:G2"/>
  </mergeCells>
  <printOptions/>
  <pageMargins left="0.75" right="0.75" top="1" bottom="1" header="0.5" footer="0.5"/>
  <pageSetup fitToHeight="1" fitToWidth="1" horizontalDpi="300" verticalDpi="300" orientation="landscape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62"/>
  <sheetViews>
    <sheetView workbookViewId="0" topLeftCell="A8">
      <selection activeCell="C32" sqref="C32"/>
    </sheetView>
  </sheetViews>
  <sheetFormatPr defaultColWidth="9.140625" defaultRowHeight="12.75"/>
  <cols>
    <col min="1" max="1" width="23.28125" style="2" customWidth="1"/>
    <col min="2" max="2" width="16.421875" style="2" customWidth="1"/>
    <col min="3" max="3" width="13.7109375" style="2" customWidth="1"/>
    <col min="4" max="4" width="15.140625" style="2" customWidth="1"/>
    <col min="5" max="5" width="14.8515625" style="2" customWidth="1"/>
    <col min="6" max="6" width="13.7109375" style="2" customWidth="1"/>
    <col min="7" max="7" width="14.57421875" style="2" customWidth="1"/>
    <col min="8" max="8" width="14.421875" style="2" bestFit="1" customWidth="1"/>
    <col min="9" max="9" width="17.8515625" style="2" customWidth="1"/>
    <col min="10" max="10" width="15.7109375" style="2" customWidth="1"/>
    <col min="11" max="11" width="13.140625" style="2" customWidth="1"/>
    <col min="12" max="16" width="12.7109375" style="2" customWidth="1"/>
    <col min="17" max="17" width="14.28125" style="2" customWidth="1"/>
    <col min="18" max="16384" width="9.140625" style="2" customWidth="1"/>
  </cols>
  <sheetData>
    <row r="1" ht="12.75">
      <c r="A1" s="15" t="s">
        <v>102</v>
      </c>
    </row>
    <row r="3" spans="1:6" ht="13.5" thickBot="1">
      <c r="A3" s="77" t="s">
        <v>2</v>
      </c>
      <c r="D3" s="78" t="s">
        <v>103</v>
      </c>
      <c r="E3" s="79" t="s">
        <v>104</v>
      </c>
      <c r="F3" s="6"/>
    </row>
    <row r="4" spans="1:6" ht="12.75">
      <c r="A4" s="2" t="s">
        <v>105</v>
      </c>
      <c r="B4" s="110">
        <v>250</v>
      </c>
      <c r="C4" s="34" t="s">
        <v>106</v>
      </c>
      <c r="D4" s="80">
        <f>'Chart of Accounts'!E16</f>
        <v>2002</v>
      </c>
      <c r="E4" s="81">
        <v>0.075</v>
      </c>
      <c r="F4" s="82"/>
    </row>
    <row r="5" spans="1:6" ht="12.75">
      <c r="A5" s="2" t="s">
        <v>107</v>
      </c>
      <c r="B5" s="110">
        <v>150</v>
      </c>
      <c r="C5" s="34" t="s">
        <v>108</v>
      </c>
      <c r="D5" s="80">
        <f>'Chart of Accounts'!E17</f>
        <v>2003</v>
      </c>
      <c r="E5" s="81">
        <v>0.1</v>
      </c>
      <c r="F5" s="83"/>
    </row>
    <row r="6" spans="1:6" ht="12.75">
      <c r="A6" s="2" t="s">
        <v>109</v>
      </c>
      <c r="B6" s="65">
        <v>0.075</v>
      </c>
      <c r="D6" s="80">
        <f>'Chart of Accounts'!E18</f>
        <v>2004</v>
      </c>
      <c r="E6" s="81">
        <v>0.11</v>
      </c>
      <c r="F6" s="83"/>
    </row>
    <row r="7" spans="1:6" ht="12.75">
      <c r="A7" s="2" t="s">
        <v>110</v>
      </c>
      <c r="B7" s="65">
        <v>0.062</v>
      </c>
      <c r="D7" s="80">
        <f>'Chart of Accounts'!E19</f>
        <v>2005</v>
      </c>
      <c r="E7" s="81">
        <v>0.12</v>
      </c>
      <c r="F7" s="83"/>
    </row>
    <row r="8" spans="1:6" ht="12.75">
      <c r="A8" s="2" t="s">
        <v>111</v>
      </c>
      <c r="B8" s="65">
        <v>0.03</v>
      </c>
      <c r="D8" s="3"/>
      <c r="E8" s="3"/>
      <c r="F8" s="83"/>
    </row>
    <row r="9" spans="1:6" ht="12.75">
      <c r="A9" s="2" t="s">
        <v>112</v>
      </c>
      <c r="B9" s="65">
        <v>0.0145</v>
      </c>
      <c r="D9" s="3"/>
      <c r="E9" s="3"/>
      <c r="F9" s="83"/>
    </row>
    <row r="10" spans="1:6" ht="12.75">
      <c r="A10" s="2" t="s">
        <v>113</v>
      </c>
      <c r="B10" s="65">
        <v>0.03</v>
      </c>
      <c r="D10" s="3"/>
      <c r="E10" s="3"/>
      <c r="F10" s="83"/>
    </row>
    <row r="11" spans="1:2" ht="12.75">
      <c r="A11" s="31"/>
      <c r="B11" s="84"/>
    </row>
    <row r="12" spans="1:9" s="34" customFormat="1" ht="12.75">
      <c r="A12" s="103"/>
      <c r="B12" s="17" t="s">
        <v>114</v>
      </c>
      <c r="C12" s="17" t="s">
        <v>115</v>
      </c>
      <c r="D12" s="17" t="s">
        <v>116</v>
      </c>
      <c r="E12" s="17" t="s">
        <v>117</v>
      </c>
      <c r="F12" s="17" t="s">
        <v>118</v>
      </c>
      <c r="G12" s="17" t="s">
        <v>109</v>
      </c>
      <c r="H12" s="17" t="s">
        <v>1</v>
      </c>
      <c r="I12" s="17" t="s">
        <v>46</v>
      </c>
    </row>
    <row r="13" spans="1:9" ht="12.75">
      <c r="A13" s="21" t="s">
        <v>119</v>
      </c>
      <c r="B13" s="104">
        <v>58800</v>
      </c>
      <c r="C13" s="21">
        <v>1</v>
      </c>
      <c r="D13" s="85" t="s">
        <v>108</v>
      </c>
      <c r="E13" s="107">
        <f aca="true" t="shared" si="0" ref="E13:E18">B13*C13</f>
        <v>58800</v>
      </c>
      <c r="F13" s="12">
        <f aca="true" t="shared" si="1" ref="F13:F18">IF(D13=$C$4,$B$4*12,$B$5*12)</f>
        <v>1800</v>
      </c>
      <c r="G13" s="106">
        <f aca="true" t="shared" si="2" ref="G13:G18">E13*$B$6</f>
        <v>4410</v>
      </c>
      <c r="H13" s="12">
        <f aca="true" t="shared" si="3" ref="H13:H18">(E13*$B$7)+(E13*$B$8)+(E13*$B$9)+($B$10*E13)</f>
        <v>8026.200000000001</v>
      </c>
      <c r="I13" s="12">
        <f aca="true" t="shared" si="4" ref="I13:I18">SUM(E13:H13)</f>
        <v>73036.2</v>
      </c>
    </row>
    <row r="14" spans="1:9" ht="12.75">
      <c r="A14" s="21" t="s">
        <v>120</v>
      </c>
      <c r="B14" s="104">
        <v>47040</v>
      </c>
      <c r="C14" s="21">
        <v>1</v>
      </c>
      <c r="D14" s="85" t="s">
        <v>108</v>
      </c>
      <c r="E14" s="107">
        <f t="shared" si="0"/>
        <v>47040</v>
      </c>
      <c r="F14" s="12">
        <f t="shared" si="1"/>
        <v>1800</v>
      </c>
      <c r="G14" s="106">
        <f t="shared" si="2"/>
        <v>3528</v>
      </c>
      <c r="H14" s="12">
        <f t="shared" si="3"/>
        <v>6420.96</v>
      </c>
      <c r="I14" s="12">
        <f t="shared" si="4"/>
        <v>58788.96</v>
      </c>
    </row>
    <row r="15" spans="1:9" ht="12.75">
      <c r="A15" s="21" t="s">
        <v>121</v>
      </c>
      <c r="B15" s="104">
        <v>47040</v>
      </c>
      <c r="C15" s="21">
        <v>0.875</v>
      </c>
      <c r="D15" s="85" t="s">
        <v>106</v>
      </c>
      <c r="E15" s="107">
        <f t="shared" si="0"/>
        <v>41160</v>
      </c>
      <c r="F15" s="12">
        <f t="shared" si="1"/>
        <v>3000</v>
      </c>
      <c r="G15" s="106">
        <f t="shared" si="2"/>
        <v>3087</v>
      </c>
      <c r="H15" s="12">
        <f t="shared" si="3"/>
        <v>5618.34</v>
      </c>
      <c r="I15" s="12">
        <f t="shared" si="4"/>
        <v>52865.34</v>
      </c>
    </row>
    <row r="16" spans="1:9" ht="12.75">
      <c r="A16" s="21" t="s">
        <v>122</v>
      </c>
      <c r="B16" s="104">
        <v>47040</v>
      </c>
      <c r="C16" s="21">
        <v>1</v>
      </c>
      <c r="D16" s="85" t="s">
        <v>106</v>
      </c>
      <c r="E16" s="107">
        <f t="shared" si="0"/>
        <v>47040</v>
      </c>
      <c r="F16" s="12">
        <f t="shared" si="1"/>
        <v>3000</v>
      </c>
      <c r="G16" s="106">
        <f t="shared" si="2"/>
        <v>3528</v>
      </c>
      <c r="H16" s="12">
        <f t="shared" si="3"/>
        <v>6420.96</v>
      </c>
      <c r="I16" s="12">
        <f t="shared" si="4"/>
        <v>59988.96</v>
      </c>
    </row>
    <row r="17" spans="1:9" ht="12.75">
      <c r="A17" s="21" t="s">
        <v>123</v>
      </c>
      <c r="B17" s="104">
        <v>47040</v>
      </c>
      <c r="C17" s="21">
        <v>1</v>
      </c>
      <c r="D17" s="85" t="s">
        <v>108</v>
      </c>
      <c r="E17" s="107">
        <f t="shared" si="0"/>
        <v>47040</v>
      </c>
      <c r="F17" s="12">
        <f t="shared" si="1"/>
        <v>1800</v>
      </c>
      <c r="G17" s="106">
        <f t="shared" si="2"/>
        <v>3528</v>
      </c>
      <c r="H17" s="12">
        <f t="shared" si="3"/>
        <v>6420.96</v>
      </c>
      <c r="I17" s="12">
        <f t="shared" si="4"/>
        <v>58788.96</v>
      </c>
    </row>
    <row r="18" spans="1:9" ht="13.5" thickBot="1">
      <c r="A18" s="70" t="s">
        <v>124</v>
      </c>
      <c r="B18" s="105">
        <v>30000</v>
      </c>
      <c r="C18" s="70">
        <v>0.625</v>
      </c>
      <c r="D18" s="86" t="s">
        <v>108</v>
      </c>
      <c r="E18" s="108">
        <f t="shared" si="0"/>
        <v>18750</v>
      </c>
      <c r="F18" s="13">
        <f t="shared" si="1"/>
        <v>1800</v>
      </c>
      <c r="G18" s="109">
        <f t="shared" si="2"/>
        <v>1406.25</v>
      </c>
      <c r="H18" s="13">
        <f t="shared" si="3"/>
        <v>2559.375</v>
      </c>
      <c r="I18" s="13">
        <f t="shared" si="4"/>
        <v>24515.625</v>
      </c>
    </row>
    <row r="19" spans="1:9" ht="12.75">
      <c r="A19" s="4" t="s">
        <v>46</v>
      </c>
      <c r="B19" s="111">
        <f>SUM(B13:B18)</f>
        <v>276960</v>
      </c>
      <c r="C19" s="2">
        <f>SUM(C13:C18)</f>
        <v>5.5</v>
      </c>
      <c r="E19" s="111">
        <f>SUM(E13:E18)</f>
        <v>259830</v>
      </c>
      <c r="F19" s="106">
        <f>SUM(F13:F18)</f>
        <v>13200</v>
      </c>
      <c r="G19" s="111">
        <f>SUM(G13:G18)</f>
        <v>19487.25</v>
      </c>
      <c r="H19" s="111">
        <f>SUM(H13:H18)</f>
        <v>35466.795</v>
      </c>
      <c r="I19" s="111">
        <f>SUM(I13:I18)</f>
        <v>327984.045</v>
      </c>
    </row>
    <row r="21" spans="2:16" ht="12.75">
      <c r="B21" s="281" t="str">
        <f>'Chart of Accounts'!$A$2</f>
        <v>Conservation</v>
      </c>
      <c r="C21" s="281"/>
      <c r="D21" s="281"/>
      <c r="E21" s="281" t="str">
        <f>'Chart of Accounts'!$A$3</f>
        <v>Outreach</v>
      </c>
      <c r="F21" s="281"/>
      <c r="G21" s="281"/>
      <c r="H21" s="281"/>
      <c r="I21" s="281" t="str">
        <f>'Chart of Accounts'!$A$4</f>
        <v>Development</v>
      </c>
      <c r="J21" s="281"/>
      <c r="K21" s="281"/>
      <c r="L21" s="281"/>
      <c r="M21" s="281"/>
      <c r="N21" s="282" t="str">
        <f>'Chart of Accounts'!$A$5</f>
        <v>Administration</v>
      </c>
      <c r="O21" s="282"/>
      <c r="P21" s="282"/>
    </row>
    <row r="22" spans="1:17" s="34" customFormat="1" ht="12.75">
      <c r="A22" s="88" t="s">
        <v>125</v>
      </c>
      <c r="B22" s="34" t="str">
        <f>'Conservation Program'!$B$2</f>
        <v>Protection</v>
      </c>
      <c r="C22" s="34" t="str">
        <f>'Conservation Program'!$C$2</f>
        <v>Stewardship</v>
      </c>
      <c r="D22" s="34" t="str">
        <f>'Conservation Program'!$D$2</f>
        <v>Monitoring</v>
      </c>
      <c r="E22" s="34" t="str">
        <f>'Outreach Program'!$B$2</f>
        <v>Landowner</v>
      </c>
      <c r="F22" s="34" t="str">
        <f>'Outreach Program'!$C$2</f>
        <v>Public</v>
      </c>
      <c r="G22" s="213" t="str">
        <f>'Outreach Program'!$D$2</f>
        <v>Networking</v>
      </c>
      <c r="H22" s="34" t="str">
        <f>'Outreach Program'!$E$2</f>
        <v>Advocacy</v>
      </c>
      <c r="I22" s="34" t="str">
        <f>'Development Program'!$B$2</f>
        <v>Major Donors</v>
      </c>
      <c r="J22" s="34" t="str">
        <f>'Development Program'!$C$2</f>
        <v>Membership</v>
      </c>
      <c r="K22" s="34" t="str">
        <f>'Development Program'!$D$2</f>
        <v>Contributions</v>
      </c>
      <c r="L22" s="34" t="str">
        <f>'Development Program'!$E$2</f>
        <v>Grants</v>
      </c>
      <c r="M22" s="34" t="str">
        <f>'Development Program'!$F$2</f>
        <v>Misc. Dev.</v>
      </c>
      <c r="N22" s="103" t="str">
        <f>'Administration Program'!$B$2</f>
        <v>Bd. Dev./ Mgt.</v>
      </c>
      <c r="O22" s="103" t="str">
        <f>'Administration Program'!$C$2</f>
        <v>Staff Dev.</v>
      </c>
      <c r="P22" s="34" t="str">
        <f>'Administration Program'!$D$2</f>
        <v>Gen. Admin.</v>
      </c>
      <c r="Q22" s="17" t="s">
        <v>46</v>
      </c>
    </row>
    <row r="23" spans="1:17" ht="12.75">
      <c r="A23" s="2" t="str">
        <f aca="true" t="shared" si="5" ref="A23:A28">A13</f>
        <v>Executive Director</v>
      </c>
      <c r="B23" s="100">
        <v>0.1</v>
      </c>
      <c r="C23" s="101">
        <v>0.1</v>
      </c>
      <c r="D23" s="102">
        <v>0.1</v>
      </c>
      <c r="E23" s="100">
        <v>0.1</v>
      </c>
      <c r="F23" s="101">
        <v>0.1</v>
      </c>
      <c r="G23" s="101">
        <v>0.05</v>
      </c>
      <c r="H23" s="102">
        <v>0.05</v>
      </c>
      <c r="I23" s="100">
        <v>0.05</v>
      </c>
      <c r="J23" s="101">
        <v>0.05</v>
      </c>
      <c r="K23" s="101">
        <v>0.05</v>
      </c>
      <c r="L23" s="101">
        <v>0.05</v>
      </c>
      <c r="M23" s="102">
        <v>0.05</v>
      </c>
      <c r="N23" s="95">
        <v>0.05</v>
      </c>
      <c r="O23" s="95">
        <v>0.05</v>
      </c>
      <c r="P23" s="102">
        <v>0.05</v>
      </c>
      <c r="Q23" s="89">
        <f aca="true" t="shared" si="6" ref="Q23:Q28">SUM(B23:P23)</f>
        <v>1.0000000000000004</v>
      </c>
    </row>
    <row r="24" spans="1:17" ht="12.75">
      <c r="A24" s="2" t="str">
        <f t="shared" si="5"/>
        <v>Conservation Director</v>
      </c>
      <c r="B24" s="94">
        <v>0.15</v>
      </c>
      <c r="C24" s="95">
        <v>0.2</v>
      </c>
      <c r="D24" s="96">
        <v>0.2</v>
      </c>
      <c r="E24" s="94">
        <v>0.15</v>
      </c>
      <c r="F24" s="95">
        <v>0.1</v>
      </c>
      <c r="G24" s="95">
        <v>0.1</v>
      </c>
      <c r="H24" s="96">
        <v>0.1</v>
      </c>
      <c r="I24" s="94"/>
      <c r="J24" s="95"/>
      <c r="K24" s="95"/>
      <c r="L24" s="95"/>
      <c r="M24" s="96"/>
      <c r="N24" s="95"/>
      <c r="O24" s="95"/>
      <c r="P24" s="96"/>
      <c r="Q24" s="89">
        <f t="shared" si="6"/>
        <v>1</v>
      </c>
    </row>
    <row r="25" spans="1:17" ht="12.75">
      <c r="A25" s="2" t="str">
        <f t="shared" si="5"/>
        <v>Program Director</v>
      </c>
      <c r="B25" s="94">
        <v>0.1</v>
      </c>
      <c r="C25" s="95">
        <v>0.1</v>
      </c>
      <c r="D25" s="96">
        <v>0.1</v>
      </c>
      <c r="E25" s="94">
        <v>0.2</v>
      </c>
      <c r="F25" s="95">
        <v>0.2</v>
      </c>
      <c r="G25" s="95">
        <v>0.15</v>
      </c>
      <c r="H25" s="96">
        <v>0.15</v>
      </c>
      <c r="I25" s="94"/>
      <c r="J25" s="95"/>
      <c r="K25" s="95"/>
      <c r="L25" s="95"/>
      <c r="M25" s="96"/>
      <c r="N25" s="95"/>
      <c r="O25" s="95"/>
      <c r="P25" s="96"/>
      <c r="Q25" s="89">
        <f t="shared" si="6"/>
        <v>1</v>
      </c>
    </row>
    <row r="26" spans="1:17" ht="12.75">
      <c r="A26" s="2" t="str">
        <f t="shared" si="5"/>
        <v>Conservation Biologist</v>
      </c>
      <c r="B26" s="94">
        <v>0.2</v>
      </c>
      <c r="C26" s="95">
        <v>0.2</v>
      </c>
      <c r="D26" s="96">
        <v>0.3</v>
      </c>
      <c r="E26" s="94">
        <v>0.1</v>
      </c>
      <c r="F26" s="95">
        <v>0.1</v>
      </c>
      <c r="G26" s="95">
        <v>0.1</v>
      </c>
      <c r="H26" s="96"/>
      <c r="I26" s="94"/>
      <c r="J26" s="95"/>
      <c r="K26" s="95"/>
      <c r="L26" s="95"/>
      <c r="M26" s="96"/>
      <c r="N26" s="95"/>
      <c r="O26" s="95"/>
      <c r="P26" s="96"/>
      <c r="Q26" s="89">
        <f t="shared" si="6"/>
        <v>0.9999999999999999</v>
      </c>
    </row>
    <row r="27" spans="1:17" ht="12.75">
      <c r="A27" s="2" t="str">
        <f t="shared" si="5"/>
        <v>Development Director</v>
      </c>
      <c r="B27" s="94"/>
      <c r="C27" s="95"/>
      <c r="D27" s="96"/>
      <c r="E27" s="94"/>
      <c r="F27" s="95">
        <v>0.1</v>
      </c>
      <c r="G27" s="95">
        <v>0.1</v>
      </c>
      <c r="H27" s="96"/>
      <c r="I27" s="94">
        <v>0.15</v>
      </c>
      <c r="J27" s="95">
        <v>0.15</v>
      </c>
      <c r="K27" s="95">
        <v>0.15</v>
      </c>
      <c r="L27" s="95">
        <v>0.15</v>
      </c>
      <c r="M27" s="96">
        <v>0.15</v>
      </c>
      <c r="N27" s="95">
        <v>0.05</v>
      </c>
      <c r="O27" s="95"/>
      <c r="P27" s="96"/>
      <c r="Q27" s="89">
        <f t="shared" si="6"/>
        <v>1</v>
      </c>
    </row>
    <row r="28" spans="1:17" ht="12.75">
      <c r="A28" s="2" t="str">
        <f t="shared" si="5"/>
        <v>Administrative Assistant</v>
      </c>
      <c r="B28" s="97">
        <v>0.05</v>
      </c>
      <c r="C28" s="98">
        <v>0.05</v>
      </c>
      <c r="D28" s="99">
        <v>0.05</v>
      </c>
      <c r="E28" s="97">
        <v>0.05</v>
      </c>
      <c r="F28" s="98">
        <v>0.2</v>
      </c>
      <c r="G28" s="98">
        <v>0.05</v>
      </c>
      <c r="H28" s="99">
        <v>0.05</v>
      </c>
      <c r="I28" s="97">
        <v>0.05</v>
      </c>
      <c r="J28" s="98">
        <v>0.05</v>
      </c>
      <c r="K28" s="98">
        <v>0.05</v>
      </c>
      <c r="L28" s="98">
        <v>0.05</v>
      </c>
      <c r="M28" s="99">
        <v>0.05</v>
      </c>
      <c r="N28" s="98">
        <v>0.1</v>
      </c>
      <c r="O28" s="98">
        <v>0.1</v>
      </c>
      <c r="P28" s="99">
        <v>0.05</v>
      </c>
      <c r="Q28" s="89">
        <f t="shared" si="6"/>
        <v>1.0000000000000002</v>
      </c>
    </row>
    <row r="29" spans="1:17" ht="12.75">
      <c r="A29" s="4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6" ht="12.75">
      <c r="B30" s="281" t="str">
        <f>'Chart of Accounts'!$A$2</f>
        <v>Conservation</v>
      </c>
      <c r="C30" s="281"/>
      <c r="D30" s="281"/>
      <c r="E30" s="281" t="str">
        <f>'Chart of Accounts'!$A$3</f>
        <v>Outreach</v>
      </c>
      <c r="F30" s="281"/>
      <c r="G30" s="281"/>
      <c r="H30" s="281"/>
      <c r="I30" s="281" t="str">
        <f>'Chart of Accounts'!$A$4</f>
        <v>Development</v>
      </c>
      <c r="J30" s="281"/>
      <c r="K30" s="281"/>
      <c r="L30" s="281"/>
      <c r="M30" s="281"/>
      <c r="N30" s="282" t="str">
        <f>'Chart of Accounts'!$A$5</f>
        <v>Administration</v>
      </c>
      <c r="O30" s="282"/>
      <c r="P30" s="282"/>
    </row>
    <row r="31" spans="1:17" ht="12.75">
      <c r="A31" s="77" t="s">
        <v>147</v>
      </c>
      <c r="B31" s="34" t="str">
        <f>'Conservation Program'!$B$2</f>
        <v>Protection</v>
      </c>
      <c r="C31" s="34" t="str">
        <f>'Conservation Program'!$C$2</f>
        <v>Stewardship</v>
      </c>
      <c r="D31" s="34" t="str">
        <f>'Conservation Program'!$D$2</f>
        <v>Monitoring</v>
      </c>
      <c r="E31" s="34" t="str">
        <f>'Outreach Program'!$B$2</f>
        <v>Landowner</v>
      </c>
      <c r="F31" s="34" t="str">
        <f>'Outreach Program'!$C$2</f>
        <v>Public</v>
      </c>
      <c r="G31" s="213" t="str">
        <f>'Outreach Program'!$D$2</f>
        <v>Networking</v>
      </c>
      <c r="H31" s="34" t="str">
        <f>'Outreach Program'!$E$2</f>
        <v>Advocacy</v>
      </c>
      <c r="I31" s="34" t="str">
        <f>'Development Program'!$B$2</f>
        <v>Major Donors</v>
      </c>
      <c r="J31" s="34" t="str">
        <f>'Development Program'!$C$2</f>
        <v>Membership</v>
      </c>
      <c r="K31" s="34" t="str">
        <f>'Development Program'!$D$2</f>
        <v>Contributions</v>
      </c>
      <c r="L31" s="34" t="str">
        <f>'Development Program'!$E$2</f>
        <v>Grants</v>
      </c>
      <c r="M31" s="34" t="str">
        <f>'Development Program'!$F$2</f>
        <v>Misc. Dev.</v>
      </c>
      <c r="N31" s="34" t="str">
        <f>'Administration Program'!$B$2</f>
        <v>Bd. Dev./ Mgt.</v>
      </c>
      <c r="O31" s="34" t="str">
        <f>'Administration Program'!$C$2</f>
        <v>Staff Dev.</v>
      </c>
      <c r="P31" s="34" t="str">
        <f>'Administration Program'!$D$2</f>
        <v>Gen. Admin.</v>
      </c>
      <c r="Q31" s="17" t="s">
        <v>46</v>
      </c>
    </row>
    <row r="32" spans="1:17" ht="12.75">
      <c r="A32" s="2" t="str">
        <f aca="true" t="shared" si="7" ref="A32:A37">A13</f>
        <v>Executive Director</v>
      </c>
      <c r="B32" s="112">
        <f>(SUM($E$13+$G$13)*B23)</f>
        <v>6321</v>
      </c>
      <c r="C32" s="113">
        <f aca="true" t="shared" si="8" ref="C32:M32">(SUM($E$13+$G$13)*C23)</f>
        <v>6321</v>
      </c>
      <c r="D32" s="114">
        <f t="shared" si="8"/>
        <v>6321</v>
      </c>
      <c r="E32" s="112">
        <f t="shared" si="8"/>
        <v>6321</v>
      </c>
      <c r="F32" s="113">
        <f t="shared" si="8"/>
        <v>6321</v>
      </c>
      <c r="G32" s="113">
        <f t="shared" si="8"/>
        <v>3160.5</v>
      </c>
      <c r="H32" s="114">
        <f t="shared" si="8"/>
        <v>3160.5</v>
      </c>
      <c r="I32" s="112">
        <f t="shared" si="8"/>
        <v>3160.5</v>
      </c>
      <c r="J32" s="113">
        <f t="shared" si="8"/>
        <v>3160.5</v>
      </c>
      <c r="K32" s="113">
        <f t="shared" si="8"/>
        <v>3160.5</v>
      </c>
      <c r="L32" s="113">
        <f t="shared" si="8"/>
        <v>3160.5</v>
      </c>
      <c r="M32" s="113">
        <f t="shared" si="8"/>
        <v>3160.5</v>
      </c>
      <c r="N32" s="112">
        <f>(SUM($E$13+$G$13)*N23)</f>
        <v>3160.5</v>
      </c>
      <c r="O32" s="113">
        <f>(SUM($E$13+$G$13)*O23)</f>
        <v>3160.5</v>
      </c>
      <c r="P32" s="114">
        <f>(SUM($E$13+$G$13)*P23)</f>
        <v>3160.5</v>
      </c>
      <c r="Q32" s="114">
        <f aca="true" t="shared" si="9" ref="Q32:Q37">SUM(B32:P32)</f>
        <v>63210</v>
      </c>
    </row>
    <row r="33" spans="1:17" ht="12.75">
      <c r="A33" s="2" t="str">
        <f t="shared" si="7"/>
        <v>Conservation Director</v>
      </c>
      <c r="B33" s="115">
        <f>(SUM($E$14+$G$14)*B24)</f>
        <v>7585.2</v>
      </c>
      <c r="C33" s="116">
        <f aca="true" t="shared" si="10" ref="C33:M33">(SUM($E$14+$G$14)*C24)</f>
        <v>10113.6</v>
      </c>
      <c r="D33" s="117">
        <f t="shared" si="10"/>
        <v>10113.6</v>
      </c>
      <c r="E33" s="115">
        <f t="shared" si="10"/>
        <v>7585.2</v>
      </c>
      <c r="F33" s="116">
        <f t="shared" si="10"/>
        <v>5056.8</v>
      </c>
      <c r="G33" s="116">
        <f t="shared" si="10"/>
        <v>5056.8</v>
      </c>
      <c r="H33" s="117">
        <f t="shared" si="10"/>
        <v>5056.8</v>
      </c>
      <c r="I33" s="115">
        <f t="shared" si="10"/>
        <v>0</v>
      </c>
      <c r="J33" s="116">
        <f t="shared" si="10"/>
        <v>0</v>
      </c>
      <c r="K33" s="116">
        <f t="shared" si="10"/>
        <v>0</v>
      </c>
      <c r="L33" s="116">
        <f t="shared" si="10"/>
        <v>0</v>
      </c>
      <c r="M33" s="116">
        <f t="shared" si="10"/>
        <v>0</v>
      </c>
      <c r="N33" s="115">
        <f>(SUM($E$14+$G$14)*N24)</f>
        <v>0</v>
      </c>
      <c r="O33" s="116">
        <f>(SUM($E$14+$G$14)*O24)</f>
        <v>0</v>
      </c>
      <c r="P33" s="117">
        <f>(SUM($E$14+$G$14)*P24)</f>
        <v>0</v>
      </c>
      <c r="Q33" s="117">
        <f t="shared" si="9"/>
        <v>50568.00000000001</v>
      </c>
    </row>
    <row r="34" spans="1:17" ht="12.75">
      <c r="A34" s="2" t="str">
        <f t="shared" si="7"/>
        <v>Program Director</v>
      </c>
      <c r="B34" s="115">
        <f>(SUM($E$15+$G$15)*B25)</f>
        <v>4424.7</v>
      </c>
      <c r="C34" s="116">
        <f aca="true" t="shared" si="11" ref="C34:M34">(SUM($E$15+$G$15)*C25)</f>
        <v>4424.7</v>
      </c>
      <c r="D34" s="117">
        <f t="shared" si="11"/>
        <v>4424.7</v>
      </c>
      <c r="E34" s="115">
        <f t="shared" si="11"/>
        <v>8849.4</v>
      </c>
      <c r="F34" s="116">
        <f t="shared" si="11"/>
        <v>8849.4</v>
      </c>
      <c r="G34" s="116">
        <f t="shared" si="11"/>
        <v>6637.05</v>
      </c>
      <c r="H34" s="117">
        <f t="shared" si="11"/>
        <v>6637.05</v>
      </c>
      <c r="I34" s="115">
        <f t="shared" si="11"/>
        <v>0</v>
      </c>
      <c r="J34" s="116">
        <f t="shared" si="11"/>
        <v>0</v>
      </c>
      <c r="K34" s="116">
        <f t="shared" si="11"/>
        <v>0</v>
      </c>
      <c r="L34" s="116">
        <f t="shared" si="11"/>
        <v>0</v>
      </c>
      <c r="M34" s="116">
        <f t="shared" si="11"/>
        <v>0</v>
      </c>
      <c r="N34" s="115">
        <f>(SUM($E$15+$G$15)*N25)</f>
        <v>0</v>
      </c>
      <c r="O34" s="116">
        <f>(SUM($E$15+$G$15)*O25)</f>
        <v>0</v>
      </c>
      <c r="P34" s="117">
        <f>(SUM($E$15+$G$15)*P25)</f>
        <v>0</v>
      </c>
      <c r="Q34" s="117">
        <f t="shared" si="9"/>
        <v>44247.00000000001</v>
      </c>
    </row>
    <row r="35" spans="1:17" ht="12.75">
      <c r="A35" s="2" t="str">
        <f t="shared" si="7"/>
        <v>Conservation Biologist</v>
      </c>
      <c r="B35" s="115">
        <f>(SUM($E$16+$G$16)*B26)</f>
        <v>10113.6</v>
      </c>
      <c r="C35" s="116">
        <f aca="true" t="shared" si="12" ref="C35:M35">(SUM($E$16+$G$16)*C26)</f>
        <v>10113.6</v>
      </c>
      <c r="D35" s="117">
        <f t="shared" si="12"/>
        <v>15170.4</v>
      </c>
      <c r="E35" s="115">
        <f t="shared" si="12"/>
        <v>5056.8</v>
      </c>
      <c r="F35" s="116">
        <f t="shared" si="12"/>
        <v>5056.8</v>
      </c>
      <c r="G35" s="116">
        <f t="shared" si="12"/>
        <v>5056.8</v>
      </c>
      <c r="H35" s="117">
        <f t="shared" si="12"/>
        <v>0</v>
      </c>
      <c r="I35" s="115">
        <f t="shared" si="12"/>
        <v>0</v>
      </c>
      <c r="J35" s="116">
        <f t="shared" si="12"/>
        <v>0</v>
      </c>
      <c r="K35" s="116">
        <f t="shared" si="12"/>
        <v>0</v>
      </c>
      <c r="L35" s="116">
        <f t="shared" si="12"/>
        <v>0</v>
      </c>
      <c r="M35" s="116">
        <f t="shared" si="12"/>
        <v>0</v>
      </c>
      <c r="N35" s="115">
        <f>(SUM($E$16+$G$16)*N26)</f>
        <v>0</v>
      </c>
      <c r="O35" s="116">
        <f>(SUM($E$16+$G$16)*O26)</f>
        <v>0</v>
      </c>
      <c r="P35" s="117">
        <f>(SUM($E$16+$G$16)*P26)</f>
        <v>0</v>
      </c>
      <c r="Q35" s="117">
        <f t="shared" si="9"/>
        <v>50568.00000000001</v>
      </c>
    </row>
    <row r="36" spans="1:17" ht="12.75">
      <c r="A36" s="2" t="str">
        <f t="shared" si="7"/>
        <v>Development Director</v>
      </c>
      <c r="B36" s="115">
        <f>(SUM($E$17+$G$17)*B27)</f>
        <v>0</v>
      </c>
      <c r="C36" s="116">
        <f aca="true" t="shared" si="13" ref="C36:M36">(SUM($E$17+$G$17)*C27)</f>
        <v>0</v>
      </c>
      <c r="D36" s="117">
        <f t="shared" si="13"/>
        <v>0</v>
      </c>
      <c r="E36" s="115">
        <f t="shared" si="13"/>
        <v>0</v>
      </c>
      <c r="F36" s="116">
        <f t="shared" si="13"/>
        <v>5056.8</v>
      </c>
      <c r="G36" s="116">
        <f t="shared" si="13"/>
        <v>5056.8</v>
      </c>
      <c r="H36" s="117">
        <f t="shared" si="13"/>
        <v>0</v>
      </c>
      <c r="I36" s="115">
        <f t="shared" si="13"/>
        <v>7585.2</v>
      </c>
      <c r="J36" s="116">
        <f t="shared" si="13"/>
        <v>7585.2</v>
      </c>
      <c r="K36" s="116">
        <f t="shared" si="13"/>
        <v>7585.2</v>
      </c>
      <c r="L36" s="116">
        <f t="shared" si="13"/>
        <v>7585.2</v>
      </c>
      <c r="M36" s="116">
        <f t="shared" si="13"/>
        <v>7585.2</v>
      </c>
      <c r="N36" s="115">
        <f>(SUM($E$17+$G$17)*N27)</f>
        <v>2528.4</v>
      </c>
      <c r="O36" s="116">
        <f>(SUM($E$17+$G$17)*O27)</f>
        <v>0</v>
      </c>
      <c r="P36" s="117">
        <f>(SUM($E$17+$G$17)*P27)</f>
        <v>0</v>
      </c>
      <c r="Q36" s="117">
        <f t="shared" si="9"/>
        <v>50567.99999999999</v>
      </c>
    </row>
    <row r="37" spans="1:17" ht="13.5" thickBot="1">
      <c r="A37" s="20" t="str">
        <f t="shared" si="7"/>
        <v>Administrative Assistant</v>
      </c>
      <c r="B37" s="118">
        <f>(SUM($E$18+$G$18)*B28)</f>
        <v>1007.8125</v>
      </c>
      <c r="C37" s="13">
        <f aca="true" t="shared" si="14" ref="C37:M37">(SUM($E$18+$G$18)*C28)</f>
        <v>1007.8125</v>
      </c>
      <c r="D37" s="120">
        <f t="shared" si="14"/>
        <v>1007.8125</v>
      </c>
      <c r="E37" s="118">
        <f t="shared" si="14"/>
        <v>1007.8125</v>
      </c>
      <c r="F37" s="13">
        <f t="shared" si="14"/>
        <v>4031.25</v>
      </c>
      <c r="G37" s="13">
        <f t="shared" si="14"/>
        <v>1007.8125</v>
      </c>
      <c r="H37" s="120">
        <f t="shared" si="14"/>
        <v>1007.8125</v>
      </c>
      <c r="I37" s="118">
        <f t="shared" si="14"/>
        <v>1007.8125</v>
      </c>
      <c r="J37" s="13">
        <f t="shared" si="14"/>
        <v>1007.8125</v>
      </c>
      <c r="K37" s="13">
        <f t="shared" si="14"/>
        <v>1007.8125</v>
      </c>
      <c r="L37" s="13">
        <f t="shared" si="14"/>
        <v>1007.8125</v>
      </c>
      <c r="M37" s="13">
        <f t="shared" si="14"/>
        <v>1007.8125</v>
      </c>
      <c r="N37" s="118">
        <f>(SUM($E$18+$G$18)*N28)</f>
        <v>2015.625</v>
      </c>
      <c r="O37" s="13">
        <f>(SUM($E$18+$G$18)*O28)</f>
        <v>2015.625</v>
      </c>
      <c r="P37" s="120">
        <f>(SUM($E$18+$G$18)*P28)</f>
        <v>1007.8125</v>
      </c>
      <c r="Q37" s="120">
        <f t="shared" si="9"/>
        <v>20156.25</v>
      </c>
    </row>
    <row r="38" spans="1:17" ht="12.75">
      <c r="A38" s="4" t="s">
        <v>46</v>
      </c>
      <c r="B38" s="111">
        <f aca="true" t="shared" si="15" ref="B38:Q38">SUM(B32:B37)</f>
        <v>29452.3125</v>
      </c>
      <c r="C38" s="111">
        <f t="shared" si="15"/>
        <v>31980.7125</v>
      </c>
      <c r="D38" s="111">
        <f t="shared" si="15"/>
        <v>37037.5125</v>
      </c>
      <c r="E38" s="111">
        <f t="shared" si="15"/>
        <v>28820.212499999998</v>
      </c>
      <c r="F38" s="111">
        <f t="shared" si="15"/>
        <v>34372.049999999996</v>
      </c>
      <c r="G38" s="111">
        <f t="shared" si="15"/>
        <v>25975.762499999997</v>
      </c>
      <c r="H38" s="111">
        <f t="shared" si="15"/>
        <v>15862.162499999999</v>
      </c>
      <c r="I38" s="111">
        <f t="shared" si="15"/>
        <v>11753.5125</v>
      </c>
      <c r="J38" s="111">
        <f t="shared" si="15"/>
        <v>11753.5125</v>
      </c>
      <c r="K38" s="111">
        <f t="shared" si="15"/>
        <v>11753.5125</v>
      </c>
      <c r="L38" s="111">
        <f t="shared" si="15"/>
        <v>11753.5125</v>
      </c>
      <c r="M38" s="111">
        <f t="shared" si="15"/>
        <v>11753.5125</v>
      </c>
      <c r="N38" s="111">
        <f>SUM(N32:N37)</f>
        <v>7704.525</v>
      </c>
      <c r="O38" s="111">
        <f>SUM(O32:O37)</f>
        <v>5176.125</v>
      </c>
      <c r="P38" s="111">
        <f>SUM(P32:P37)</f>
        <v>4168.3125</v>
      </c>
      <c r="Q38" s="111">
        <f t="shared" si="15"/>
        <v>279317.25</v>
      </c>
    </row>
    <row r="39" spans="1:17" ht="12.75">
      <c r="A39" s="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6" ht="12.75">
      <c r="B40" s="281" t="str">
        <f>'Chart of Accounts'!$A$2</f>
        <v>Conservation</v>
      </c>
      <c r="C40" s="281"/>
      <c r="D40" s="281"/>
      <c r="E40" s="281" t="str">
        <f>'Chart of Accounts'!$A$3</f>
        <v>Outreach</v>
      </c>
      <c r="F40" s="281"/>
      <c r="G40" s="281"/>
      <c r="H40" s="281"/>
      <c r="I40" s="281" t="str">
        <f>'Chart of Accounts'!$A$4</f>
        <v>Development</v>
      </c>
      <c r="J40" s="281"/>
      <c r="K40" s="281"/>
      <c r="L40" s="281"/>
      <c r="M40" s="281"/>
      <c r="N40" s="282" t="str">
        <f>'Chart of Accounts'!$A$5</f>
        <v>Administration</v>
      </c>
      <c r="O40" s="282"/>
      <c r="P40" s="282"/>
    </row>
    <row r="41" spans="1:17" ht="12.75">
      <c r="A41" s="77" t="s">
        <v>126</v>
      </c>
      <c r="B41" s="34" t="str">
        <f>'Conservation Program'!$B$2</f>
        <v>Protection</v>
      </c>
      <c r="C41" s="34" t="str">
        <f>'Conservation Program'!$C$2</f>
        <v>Stewardship</v>
      </c>
      <c r="D41" s="34" t="str">
        <f>'Conservation Program'!$D$2</f>
        <v>Monitoring</v>
      </c>
      <c r="E41" s="34" t="str">
        <f>'Outreach Program'!$B$2</f>
        <v>Landowner</v>
      </c>
      <c r="F41" s="34" t="str">
        <f>'Outreach Program'!$C$2</f>
        <v>Public</v>
      </c>
      <c r="G41" s="213" t="str">
        <f>'Outreach Program'!$D$2</f>
        <v>Networking</v>
      </c>
      <c r="H41" s="34" t="str">
        <f>'Outreach Program'!$E$2</f>
        <v>Advocacy</v>
      </c>
      <c r="I41" s="34" t="str">
        <f>'Development Program'!$B$2</f>
        <v>Major Donors</v>
      </c>
      <c r="J41" s="34" t="str">
        <f>'Development Program'!$C$2</f>
        <v>Membership</v>
      </c>
      <c r="K41" s="34" t="str">
        <f>'Development Program'!$D$2</f>
        <v>Contributions</v>
      </c>
      <c r="L41" s="34" t="str">
        <f>'Development Program'!$E$2</f>
        <v>Grants</v>
      </c>
      <c r="M41" s="34" t="str">
        <f>'Development Program'!$F$2</f>
        <v>Misc. Dev.</v>
      </c>
      <c r="N41" s="34" t="str">
        <f>'Administration Program'!$B$2</f>
        <v>Bd. Dev./ Mgt.</v>
      </c>
      <c r="O41" s="34" t="str">
        <f>'Administration Program'!$C$2</f>
        <v>Staff Dev.</v>
      </c>
      <c r="P41" s="34" t="str">
        <f>'Administration Program'!$D$2</f>
        <v>Gen. Admin.</v>
      </c>
      <c r="Q41" s="17" t="s">
        <v>46</v>
      </c>
    </row>
    <row r="42" spans="1:17" ht="12.75">
      <c r="A42" s="2" t="str">
        <f aca="true" t="shared" si="16" ref="A42:A47">A13</f>
        <v>Executive Director</v>
      </c>
      <c r="B42" s="112">
        <f>$H$13*B23</f>
        <v>802.6200000000001</v>
      </c>
      <c r="C42" s="113">
        <f aca="true" t="shared" si="17" ref="C42:M42">$H$13*C23</f>
        <v>802.6200000000001</v>
      </c>
      <c r="D42" s="114">
        <f t="shared" si="17"/>
        <v>802.6200000000001</v>
      </c>
      <c r="E42" s="112">
        <f t="shared" si="17"/>
        <v>802.6200000000001</v>
      </c>
      <c r="F42" s="113">
        <f t="shared" si="17"/>
        <v>802.6200000000001</v>
      </c>
      <c r="G42" s="113">
        <f t="shared" si="17"/>
        <v>401.31000000000006</v>
      </c>
      <c r="H42" s="114">
        <f t="shared" si="17"/>
        <v>401.31000000000006</v>
      </c>
      <c r="I42" s="112">
        <f t="shared" si="17"/>
        <v>401.31000000000006</v>
      </c>
      <c r="J42" s="113">
        <f t="shared" si="17"/>
        <v>401.31000000000006</v>
      </c>
      <c r="K42" s="113">
        <f t="shared" si="17"/>
        <v>401.31000000000006</v>
      </c>
      <c r="L42" s="113">
        <f t="shared" si="17"/>
        <v>401.31000000000006</v>
      </c>
      <c r="M42" s="113">
        <f t="shared" si="17"/>
        <v>401.31000000000006</v>
      </c>
      <c r="N42" s="112">
        <f>$H$13*N23</f>
        <v>401.31000000000006</v>
      </c>
      <c r="O42" s="113">
        <f>$H$13*O23</f>
        <v>401.31000000000006</v>
      </c>
      <c r="P42" s="114">
        <f>$H$13*P23</f>
        <v>401.31000000000006</v>
      </c>
      <c r="Q42" s="114">
        <f aca="true" t="shared" si="18" ref="Q42:Q47">SUM(B42:P42)</f>
        <v>8026.200000000004</v>
      </c>
    </row>
    <row r="43" spans="1:17" ht="12.75">
      <c r="A43" s="2" t="str">
        <f t="shared" si="16"/>
        <v>Conservation Director</v>
      </c>
      <c r="B43" s="115">
        <f>$H$14*B24</f>
        <v>963.144</v>
      </c>
      <c r="C43" s="116">
        <f aca="true" t="shared" si="19" ref="C43:M43">$H$14*C24</f>
        <v>1284.192</v>
      </c>
      <c r="D43" s="117">
        <f t="shared" si="19"/>
        <v>1284.192</v>
      </c>
      <c r="E43" s="115">
        <f t="shared" si="19"/>
        <v>963.144</v>
      </c>
      <c r="F43" s="116">
        <f t="shared" si="19"/>
        <v>642.096</v>
      </c>
      <c r="G43" s="116">
        <f t="shared" si="19"/>
        <v>642.096</v>
      </c>
      <c r="H43" s="117">
        <f t="shared" si="19"/>
        <v>642.096</v>
      </c>
      <c r="I43" s="115">
        <f t="shared" si="19"/>
        <v>0</v>
      </c>
      <c r="J43" s="116">
        <f t="shared" si="19"/>
        <v>0</v>
      </c>
      <c r="K43" s="116">
        <f t="shared" si="19"/>
        <v>0</v>
      </c>
      <c r="L43" s="116">
        <f t="shared" si="19"/>
        <v>0</v>
      </c>
      <c r="M43" s="116">
        <f t="shared" si="19"/>
        <v>0</v>
      </c>
      <c r="N43" s="115">
        <f>$H$14*N24</f>
        <v>0</v>
      </c>
      <c r="O43" s="116">
        <f>$H$14*O24</f>
        <v>0</v>
      </c>
      <c r="P43" s="117">
        <f>$H$14*P24</f>
        <v>0</v>
      </c>
      <c r="Q43" s="117">
        <f t="shared" si="18"/>
        <v>6420.959999999999</v>
      </c>
    </row>
    <row r="44" spans="1:17" ht="12.75">
      <c r="A44" s="2" t="str">
        <f t="shared" si="16"/>
        <v>Program Director</v>
      </c>
      <c r="B44" s="115">
        <f>$H$15*B25</f>
        <v>561.8340000000001</v>
      </c>
      <c r="C44" s="116">
        <f aca="true" t="shared" si="20" ref="C44:M44">$H$15*C25</f>
        <v>561.8340000000001</v>
      </c>
      <c r="D44" s="117">
        <f t="shared" si="20"/>
        <v>561.8340000000001</v>
      </c>
      <c r="E44" s="115">
        <f t="shared" si="20"/>
        <v>1123.6680000000001</v>
      </c>
      <c r="F44" s="116">
        <f t="shared" si="20"/>
        <v>1123.6680000000001</v>
      </c>
      <c r="G44" s="116">
        <f t="shared" si="20"/>
        <v>842.751</v>
      </c>
      <c r="H44" s="117">
        <f t="shared" si="20"/>
        <v>842.751</v>
      </c>
      <c r="I44" s="115">
        <f t="shared" si="20"/>
        <v>0</v>
      </c>
      <c r="J44" s="116">
        <f t="shared" si="20"/>
        <v>0</v>
      </c>
      <c r="K44" s="116">
        <f t="shared" si="20"/>
        <v>0</v>
      </c>
      <c r="L44" s="116">
        <f t="shared" si="20"/>
        <v>0</v>
      </c>
      <c r="M44" s="116">
        <f t="shared" si="20"/>
        <v>0</v>
      </c>
      <c r="N44" s="115">
        <f>$H$15*N25</f>
        <v>0</v>
      </c>
      <c r="O44" s="116">
        <f>$H$15*O25</f>
        <v>0</v>
      </c>
      <c r="P44" s="117">
        <f>$H$15*P25</f>
        <v>0</v>
      </c>
      <c r="Q44" s="117">
        <f t="shared" si="18"/>
        <v>5618.34</v>
      </c>
    </row>
    <row r="45" spans="1:17" ht="12.75">
      <c r="A45" s="2" t="str">
        <f t="shared" si="16"/>
        <v>Conservation Biologist</v>
      </c>
      <c r="B45" s="115">
        <f>$H$16*B26</f>
        <v>1284.192</v>
      </c>
      <c r="C45" s="116">
        <f aca="true" t="shared" si="21" ref="C45:M45">$H$16*C26</f>
        <v>1284.192</v>
      </c>
      <c r="D45" s="117">
        <f t="shared" si="21"/>
        <v>1926.288</v>
      </c>
      <c r="E45" s="115">
        <f t="shared" si="21"/>
        <v>642.096</v>
      </c>
      <c r="F45" s="116">
        <f t="shared" si="21"/>
        <v>642.096</v>
      </c>
      <c r="G45" s="116">
        <f t="shared" si="21"/>
        <v>642.096</v>
      </c>
      <c r="H45" s="117">
        <f t="shared" si="21"/>
        <v>0</v>
      </c>
      <c r="I45" s="115">
        <f t="shared" si="21"/>
        <v>0</v>
      </c>
      <c r="J45" s="116">
        <f t="shared" si="21"/>
        <v>0</v>
      </c>
      <c r="K45" s="116">
        <f t="shared" si="21"/>
        <v>0</v>
      </c>
      <c r="L45" s="116">
        <f t="shared" si="21"/>
        <v>0</v>
      </c>
      <c r="M45" s="116">
        <f t="shared" si="21"/>
        <v>0</v>
      </c>
      <c r="N45" s="115">
        <f>$H$16*N26</f>
        <v>0</v>
      </c>
      <c r="O45" s="116">
        <f>$H$16*O26</f>
        <v>0</v>
      </c>
      <c r="P45" s="117">
        <f>$H$16*P26</f>
        <v>0</v>
      </c>
      <c r="Q45" s="117">
        <f t="shared" si="18"/>
        <v>6420.959999999999</v>
      </c>
    </row>
    <row r="46" spans="1:17" ht="12.75">
      <c r="A46" s="2" t="str">
        <f t="shared" si="16"/>
        <v>Development Director</v>
      </c>
      <c r="B46" s="115">
        <f>$H$17*B27</f>
        <v>0</v>
      </c>
      <c r="C46" s="116">
        <f aca="true" t="shared" si="22" ref="C46:M46">$H$17*C27</f>
        <v>0</v>
      </c>
      <c r="D46" s="117">
        <f t="shared" si="22"/>
        <v>0</v>
      </c>
      <c r="E46" s="115">
        <f t="shared" si="22"/>
        <v>0</v>
      </c>
      <c r="F46" s="116">
        <f t="shared" si="22"/>
        <v>642.096</v>
      </c>
      <c r="G46" s="116">
        <f t="shared" si="22"/>
        <v>642.096</v>
      </c>
      <c r="H46" s="117">
        <f t="shared" si="22"/>
        <v>0</v>
      </c>
      <c r="I46" s="115">
        <f t="shared" si="22"/>
        <v>963.144</v>
      </c>
      <c r="J46" s="116">
        <f t="shared" si="22"/>
        <v>963.144</v>
      </c>
      <c r="K46" s="116">
        <f t="shared" si="22"/>
        <v>963.144</v>
      </c>
      <c r="L46" s="116">
        <f t="shared" si="22"/>
        <v>963.144</v>
      </c>
      <c r="M46" s="116">
        <f t="shared" si="22"/>
        <v>963.144</v>
      </c>
      <c r="N46" s="115">
        <f>$H$17*N27</f>
        <v>321.048</v>
      </c>
      <c r="O46" s="116">
        <f>$H$17*O27</f>
        <v>0</v>
      </c>
      <c r="P46" s="117">
        <f>$H$17*P27</f>
        <v>0</v>
      </c>
      <c r="Q46" s="117">
        <f t="shared" si="18"/>
        <v>6420.960000000001</v>
      </c>
    </row>
    <row r="47" spans="1:17" ht="13.5" thickBot="1">
      <c r="A47" s="20" t="str">
        <f t="shared" si="16"/>
        <v>Administrative Assistant</v>
      </c>
      <c r="B47" s="118">
        <f>$H$18*B28</f>
        <v>127.96875</v>
      </c>
      <c r="C47" s="13">
        <f aca="true" t="shared" si="23" ref="C47:M47">$H$18*C28</f>
        <v>127.96875</v>
      </c>
      <c r="D47" s="120">
        <f t="shared" si="23"/>
        <v>127.96875</v>
      </c>
      <c r="E47" s="118">
        <f t="shared" si="23"/>
        <v>127.96875</v>
      </c>
      <c r="F47" s="13">
        <f t="shared" si="23"/>
        <v>511.875</v>
      </c>
      <c r="G47" s="13">
        <f t="shared" si="23"/>
        <v>127.96875</v>
      </c>
      <c r="H47" s="120">
        <f t="shared" si="23"/>
        <v>127.96875</v>
      </c>
      <c r="I47" s="118">
        <f t="shared" si="23"/>
        <v>127.96875</v>
      </c>
      <c r="J47" s="13">
        <f t="shared" si="23"/>
        <v>127.96875</v>
      </c>
      <c r="K47" s="13">
        <f t="shared" si="23"/>
        <v>127.96875</v>
      </c>
      <c r="L47" s="13">
        <f t="shared" si="23"/>
        <v>127.96875</v>
      </c>
      <c r="M47" s="13">
        <f t="shared" si="23"/>
        <v>127.96875</v>
      </c>
      <c r="N47" s="118">
        <f>$H$18*N28</f>
        <v>255.9375</v>
      </c>
      <c r="O47" s="13">
        <f>$H$18*O28</f>
        <v>255.9375</v>
      </c>
      <c r="P47" s="120">
        <f>$H$18*P28</f>
        <v>127.96875</v>
      </c>
      <c r="Q47" s="120">
        <f t="shared" si="18"/>
        <v>2559.375</v>
      </c>
    </row>
    <row r="48" spans="1:17" ht="12.75">
      <c r="A48" s="4" t="s">
        <v>46</v>
      </c>
      <c r="B48" s="111">
        <f aca="true" t="shared" si="24" ref="B48:Q48">SUM(B42:B47)</f>
        <v>3739.75875</v>
      </c>
      <c r="C48" s="111">
        <f t="shared" si="24"/>
        <v>4060.8067499999997</v>
      </c>
      <c r="D48" s="111">
        <f t="shared" si="24"/>
        <v>4702.902749999999</v>
      </c>
      <c r="E48" s="111">
        <f t="shared" si="24"/>
        <v>3659.4967500000002</v>
      </c>
      <c r="F48" s="111">
        <f t="shared" si="24"/>
        <v>4364.451</v>
      </c>
      <c r="G48" s="111">
        <f t="shared" si="24"/>
        <v>3298.3177499999997</v>
      </c>
      <c r="H48" s="111">
        <f t="shared" si="24"/>
        <v>2014.12575</v>
      </c>
      <c r="I48" s="111">
        <f t="shared" si="24"/>
        <v>1492.4227500000002</v>
      </c>
      <c r="J48" s="111">
        <f t="shared" si="24"/>
        <v>1492.4227500000002</v>
      </c>
      <c r="K48" s="111">
        <f t="shared" si="24"/>
        <v>1492.4227500000002</v>
      </c>
      <c r="L48" s="111">
        <f t="shared" si="24"/>
        <v>1492.4227500000002</v>
      </c>
      <c r="M48" s="111">
        <f t="shared" si="24"/>
        <v>1492.4227500000002</v>
      </c>
      <c r="N48" s="111">
        <f>SUM(N42:N47)</f>
        <v>978.2955000000001</v>
      </c>
      <c r="O48" s="111">
        <f>SUM(O42:O47)</f>
        <v>657.2475000000001</v>
      </c>
      <c r="P48" s="111">
        <f>SUM(P42:P47)</f>
        <v>529.2787500000001</v>
      </c>
      <c r="Q48" s="111">
        <f t="shared" si="24"/>
        <v>35466.795000000006</v>
      </c>
    </row>
    <row r="50" spans="2:16" ht="12.75">
      <c r="B50" s="281" t="str">
        <f>'Chart of Accounts'!$A$2</f>
        <v>Conservation</v>
      </c>
      <c r="C50" s="281"/>
      <c r="D50" s="281"/>
      <c r="E50" s="281" t="str">
        <f>'Chart of Accounts'!$A$3</f>
        <v>Outreach</v>
      </c>
      <c r="F50" s="281"/>
      <c r="G50" s="281"/>
      <c r="H50" s="281"/>
      <c r="I50" s="281" t="str">
        <f>'Chart of Accounts'!$A$4</f>
        <v>Development</v>
      </c>
      <c r="J50" s="281"/>
      <c r="K50" s="281"/>
      <c r="L50" s="281"/>
      <c r="M50" s="281"/>
      <c r="N50" s="282" t="str">
        <f>'Chart of Accounts'!$A$5</f>
        <v>Administration</v>
      </c>
      <c r="O50" s="282"/>
      <c r="P50" s="282"/>
    </row>
    <row r="51" spans="1:17" ht="12.75">
      <c r="A51" s="77" t="s">
        <v>148</v>
      </c>
      <c r="B51" s="34" t="str">
        <f>'Conservation Program'!$B$2</f>
        <v>Protection</v>
      </c>
      <c r="C51" s="34" t="str">
        <f>'Conservation Program'!$C$2</f>
        <v>Stewardship</v>
      </c>
      <c r="D51" s="34" t="str">
        <f>'Conservation Program'!$D$2</f>
        <v>Monitoring</v>
      </c>
      <c r="E51" s="34" t="str">
        <f>'Outreach Program'!$B$2</f>
        <v>Landowner</v>
      </c>
      <c r="F51" s="34" t="str">
        <f>'Outreach Program'!$C$2</f>
        <v>Public</v>
      </c>
      <c r="G51" s="213" t="str">
        <f>'Outreach Program'!$D$2</f>
        <v>Networking</v>
      </c>
      <c r="H51" s="34" t="str">
        <f>'Outreach Program'!$E$2</f>
        <v>Advocacy</v>
      </c>
      <c r="I51" s="34" t="str">
        <f>'Development Program'!$B$2</f>
        <v>Major Donors</v>
      </c>
      <c r="J51" s="34" t="str">
        <f>'Development Program'!$C$2</f>
        <v>Membership</v>
      </c>
      <c r="K51" s="34" t="str">
        <f>'Development Program'!$D$2</f>
        <v>Contributions</v>
      </c>
      <c r="L51" s="34" t="str">
        <f>'Development Program'!$E$2</f>
        <v>Grants</v>
      </c>
      <c r="M51" s="34" t="str">
        <f>'Development Program'!$F$2</f>
        <v>Misc. Dev.</v>
      </c>
      <c r="N51" s="34" t="str">
        <f>'Administration Program'!$B$2</f>
        <v>Bd. Dev./ Mgt.</v>
      </c>
      <c r="O51" s="34" t="str">
        <f>'Administration Program'!$C$2</f>
        <v>Staff Dev.</v>
      </c>
      <c r="P51" s="34" t="str">
        <f>'Administration Program'!$D$2</f>
        <v>Gen. Admin.</v>
      </c>
      <c r="Q51" s="17" t="s">
        <v>46</v>
      </c>
    </row>
    <row r="52" spans="1:17" ht="12.75">
      <c r="A52" s="2" t="str">
        <f aca="true" t="shared" si="25" ref="A52:A57">A23</f>
        <v>Executive Director</v>
      </c>
      <c r="B52" s="112">
        <f>$F$13*B23</f>
        <v>180</v>
      </c>
      <c r="C52" s="113">
        <f aca="true" t="shared" si="26" ref="C52:M52">$F$13*C23</f>
        <v>180</v>
      </c>
      <c r="D52" s="114">
        <f t="shared" si="26"/>
        <v>180</v>
      </c>
      <c r="E52" s="112">
        <f t="shared" si="26"/>
        <v>180</v>
      </c>
      <c r="F52" s="113">
        <f t="shared" si="26"/>
        <v>180</v>
      </c>
      <c r="G52" s="113">
        <f t="shared" si="26"/>
        <v>90</v>
      </c>
      <c r="H52" s="114">
        <f t="shared" si="26"/>
        <v>90</v>
      </c>
      <c r="I52" s="112">
        <f t="shared" si="26"/>
        <v>90</v>
      </c>
      <c r="J52" s="113">
        <f t="shared" si="26"/>
        <v>90</v>
      </c>
      <c r="K52" s="113">
        <f t="shared" si="26"/>
        <v>90</v>
      </c>
      <c r="L52" s="113">
        <f t="shared" si="26"/>
        <v>90</v>
      </c>
      <c r="M52" s="113">
        <f t="shared" si="26"/>
        <v>90</v>
      </c>
      <c r="N52" s="112">
        <f>$F$13*N23</f>
        <v>90</v>
      </c>
      <c r="O52" s="113">
        <f>$F$13*O23</f>
        <v>90</v>
      </c>
      <c r="P52" s="114">
        <f>$F$13*P23</f>
        <v>90</v>
      </c>
      <c r="Q52" s="114">
        <f aca="true" t="shared" si="27" ref="Q52:Q57">SUM(B52:P52)</f>
        <v>1800</v>
      </c>
    </row>
    <row r="53" spans="1:17" ht="12.75">
      <c r="A53" s="2" t="str">
        <f t="shared" si="25"/>
        <v>Conservation Director</v>
      </c>
      <c r="B53" s="115">
        <f>$F$14*B24</f>
        <v>270</v>
      </c>
      <c r="C53" s="116">
        <f aca="true" t="shared" si="28" ref="C53:M53">$F$14*C24</f>
        <v>360</v>
      </c>
      <c r="D53" s="117">
        <f t="shared" si="28"/>
        <v>360</v>
      </c>
      <c r="E53" s="115">
        <f t="shared" si="28"/>
        <v>270</v>
      </c>
      <c r="F53" s="116">
        <f t="shared" si="28"/>
        <v>180</v>
      </c>
      <c r="G53" s="116">
        <f t="shared" si="28"/>
        <v>180</v>
      </c>
      <c r="H53" s="117">
        <f t="shared" si="28"/>
        <v>180</v>
      </c>
      <c r="I53" s="115">
        <f t="shared" si="28"/>
        <v>0</v>
      </c>
      <c r="J53" s="116">
        <f t="shared" si="28"/>
        <v>0</v>
      </c>
      <c r="K53" s="116">
        <f t="shared" si="28"/>
        <v>0</v>
      </c>
      <c r="L53" s="116">
        <f t="shared" si="28"/>
        <v>0</v>
      </c>
      <c r="M53" s="116">
        <f t="shared" si="28"/>
        <v>0</v>
      </c>
      <c r="N53" s="115">
        <f>$F$14*N24</f>
        <v>0</v>
      </c>
      <c r="O53" s="116">
        <f>$F$14*O24</f>
        <v>0</v>
      </c>
      <c r="P53" s="117">
        <f>$F$14*P24</f>
        <v>0</v>
      </c>
      <c r="Q53" s="117">
        <f t="shared" si="27"/>
        <v>1800</v>
      </c>
    </row>
    <row r="54" spans="1:17" ht="12.75">
      <c r="A54" s="2" t="str">
        <f t="shared" si="25"/>
        <v>Program Director</v>
      </c>
      <c r="B54" s="115">
        <f>$F$15*B25</f>
        <v>300</v>
      </c>
      <c r="C54" s="116">
        <f aca="true" t="shared" si="29" ref="C54:M54">$F$15*C25</f>
        <v>300</v>
      </c>
      <c r="D54" s="117">
        <f t="shared" si="29"/>
        <v>300</v>
      </c>
      <c r="E54" s="115">
        <f t="shared" si="29"/>
        <v>600</v>
      </c>
      <c r="F54" s="116">
        <f t="shared" si="29"/>
        <v>600</v>
      </c>
      <c r="G54" s="116">
        <f t="shared" si="29"/>
        <v>450</v>
      </c>
      <c r="H54" s="117">
        <f t="shared" si="29"/>
        <v>450</v>
      </c>
      <c r="I54" s="115">
        <f t="shared" si="29"/>
        <v>0</v>
      </c>
      <c r="J54" s="116">
        <f t="shared" si="29"/>
        <v>0</v>
      </c>
      <c r="K54" s="116">
        <f t="shared" si="29"/>
        <v>0</v>
      </c>
      <c r="L54" s="116">
        <f t="shared" si="29"/>
        <v>0</v>
      </c>
      <c r="M54" s="116">
        <f t="shared" si="29"/>
        <v>0</v>
      </c>
      <c r="N54" s="115">
        <f>$F$15*N25</f>
        <v>0</v>
      </c>
      <c r="O54" s="116">
        <f>$F$15*O25</f>
        <v>0</v>
      </c>
      <c r="P54" s="117">
        <f>$F$15*P25</f>
        <v>0</v>
      </c>
      <c r="Q54" s="117">
        <f t="shared" si="27"/>
        <v>3000</v>
      </c>
    </row>
    <row r="55" spans="1:17" ht="12.75">
      <c r="A55" s="2" t="str">
        <f t="shared" si="25"/>
        <v>Conservation Biologist</v>
      </c>
      <c r="B55" s="115">
        <f>$F$16*B26</f>
        <v>600</v>
      </c>
      <c r="C55" s="116">
        <f aca="true" t="shared" si="30" ref="C55:M55">$F$16*C26</f>
        <v>600</v>
      </c>
      <c r="D55" s="117">
        <f t="shared" si="30"/>
        <v>900</v>
      </c>
      <c r="E55" s="115">
        <f t="shared" si="30"/>
        <v>300</v>
      </c>
      <c r="F55" s="116">
        <f t="shared" si="30"/>
        <v>300</v>
      </c>
      <c r="G55" s="116">
        <f t="shared" si="30"/>
        <v>300</v>
      </c>
      <c r="H55" s="117">
        <f t="shared" si="30"/>
        <v>0</v>
      </c>
      <c r="I55" s="115">
        <f t="shared" si="30"/>
        <v>0</v>
      </c>
      <c r="J55" s="116">
        <f t="shared" si="30"/>
        <v>0</v>
      </c>
      <c r="K55" s="116">
        <f t="shared" si="30"/>
        <v>0</v>
      </c>
      <c r="L55" s="116">
        <f t="shared" si="30"/>
        <v>0</v>
      </c>
      <c r="M55" s="116">
        <f t="shared" si="30"/>
        <v>0</v>
      </c>
      <c r="N55" s="115">
        <f>$F$16*N26</f>
        <v>0</v>
      </c>
      <c r="O55" s="116">
        <f>$F$16*O26</f>
        <v>0</v>
      </c>
      <c r="P55" s="117">
        <f>$F$16*P26</f>
        <v>0</v>
      </c>
      <c r="Q55" s="117">
        <f t="shared" si="27"/>
        <v>3000</v>
      </c>
    </row>
    <row r="56" spans="1:17" ht="12.75">
      <c r="A56" s="2" t="str">
        <f t="shared" si="25"/>
        <v>Development Director</v>
      </c>
      <c r="B56" s="115">
        <f>$F$17*B27</f>
        <v>0</v>
      </c>
      <c r="C56" s="116">
        <f aca="true" t="shared" si="31" ref="C56:M56">$F$17*C27</f>
        <v>0</v>
      </c>
      <c r="D56" s="117">
        <f t="shared" si="31"/>
        <v>0</v>
      </c>
      <c r="E56" s="115">
        <f t="shared" si="31"/>
        <v>0</v>
      </c>
      <c r="F56" s="116">
        <f t="shared" si="31"/>
        <v>180</v>
      </c>
      <c r="G56" s="116">
        <f t="shared" si="31"/>
        <v>180</v>
      </c>
      <c r="H56" s="117">
        <f t="shared" si="31"/>
        <v>0</v>
      </c>
      <c r="I56" s="115">
        <f t="shared" si="31"/>
        <v>270</v>
      </c>
      <c r="J56" s="116">
        <f t="shared" si="31"/>
        <v>270</v>
      </c>
      <c r="K56" s="116">
        <f t="shared" si="31"/>
        <v>270</v>
      </c>
      <c r="L56" s="116">
        <f t="shared" si="31"/>
        <v>270</v>
      </c>
      <c r="M56" s="116">
        <f t="shared" si="31"/>
        <v>270</v>
      </c>
      <c r="N56" s="115">
        <f>$F$17*N27</f>
        <v>90</v>
      </c>
      <c r="O56" s="116">
        <f>$F$17*O27</f>
        <v>0</v>
      </c>
      <c r="P56" s="117">
        <f>$F$17*P27</f>
        <v>0</v>
      </c>
      <c r="Q56" s="117">
        <f t="shared" si="27"/>
        <v>1800</v>
      </c>
    </row>
    <row r="57" spans="1:17" ht="13.5" thickBot="1">
      <c r="A57" s="20" t="str">
        <f t="shared" si="25"/>
        <v>Administrative Assistant</v>
      </c>
      <c r="B57" s="118">
        <f>$F$18*B28</f>
        <v>90</v>
      </c>
      <c r="C57" s="13">
        <f aca="true" t="shared" si="32" ref="C57:M57">$F$18*C28</f>
        <v>90</v>
      </c>
      <c r="D57" s="120">
        <f t="shared" si="32"/>
        <v>90</v>
      </c>
      <c r="E57" s="118">
        <f t="shared" si="32"/>
        <v>90</v>
      </c>
      <c r="F57" s="13">
        <f t="shared" si="32"/>
        <v>360</v>
      </c>
      <c r="G57" s="13">
        <f t="shared" si="32"/>
        <v>90</v>
      </c>
      <c r="H57" s="120">
        <f t="shared" si="32"/>
        <v>90</v>
      </c>
      <c r="I57" s="118">
        <f t="shared" si="32"/>
        <v>90</v>
      </c>
      <c r="J57" s="13">
        <f t="shared" si="32"/>
        <v>90</v>
      </c>
      <c r="K57" s="13">
        <f t="shared" si="32"/>
        <v>90</v>
      </c>
      <c r="L57" s="13">
        <f t="shared" si="32"/>
        <v>90</v>
      </c>
      <c r="M57" s="13">
        <f t="shared" si="32"/>
        <v>90</v>
      </c>
      <c r="N57" s="118">
        <f>$F$18*N28</f>
        <v>180</v>
      </c>
      <c r="O57" s="13">
        <f>$F$18*O28</f>
        <v>180</v>
      </c>
      <c r="P57" s="120">
        <f>$F$18*P28</f>
        <v>90</v>
      </c>
      <c r="Q57" s="120">
        <f t="shared" si="27"/>
        <v>1800</v>
      </c>
    </row>
    <row r="58" spans="1:17" ht="12.75">
      <c r="A58" s="4" t="s">
        <v>46</v>
      </c>
      <c r="B58" s="111">
        <f aca="true" t="shared" si="33" ref="B58:Q58">SUM(B52:B57)</f>
        <v>1440</v>
      </c>
      <c r="C58" s="111">
        <f t="shared" si="33"/>
        <v>1530</v>
      </c>
      <c r="D58" s="111">
        <f t="shared" si="33"/>
        <v>1830</v>
      </c>
      <c r="E58" s="111">
        <f t="shared" si="33"/>
        <v>1440</v>
      </c>
      <c r="F58" s="111">
        <f t="shared" si="33"/>
        <v>1800</v>
      </c>
      <c r="G58" s="111">
        <f t="shared" si="33"/>
        <v>1290</v>
      </c>
      <c r="H58" s="111">
        <f t="shared" si="33"/>
        <v>810</v>
      </c>
      <c r="I58" s="111">
        <f t="shared" si="33"/>
        <v>450</v>
      </c>
      <c r="J58" s="111">
        <f t="shared" si="33"/>
        <v>450</v>
      </c>
      <c r="K58" s="111">
        <f t="shared" si="33"/>
        <v>450</v>
      </c>
      <c r="L58" s="111">
        <f t="shared" si="33"/>
        <v>450</v>
      </c>
      <c r="M58" s="111">
        <f t="shared" si="33"/>
        <v>450</v>
      </c>
      <c r="N58" s="111">
        <f>SUM(N52:N57)</f>
        <v>360</v>
      </c>
      <c r="O58" s="111">
        <f>SUM(O52:O57)</f>
        <v>270</v>
      </c>
      <c r="P58" s="111">
        <f>SUM(P52:P57)</f>
        <v>180</v>
      </c>
      <c r="Q58" s="111">
        <f t="shared" si="33"/>
        <v>13200</v>
      </c>
    </row>
    <row r="60" spans="1:17" ht="12.75">
      <c r="A60" s="77" t="s">
        <v>127</v>
      </c>
      <c r="B60" s="38">
        <f aca="true" t="shared" si="34" ref="B60:P60">(B38+B48+B58)/($Q$38+$Q$48+$Q$58)</f>
        <v>0.10559071935953471</v>
      </c>
      <c r="C60" s="38">
        <f t="shared" si="34"/>
        <v>0.11455288701619616</v>
      </c>
      <c r="D60" s="38">
        <f t="shared" si="34"/>
        <v>0.132843093785248</v>
      </c>
      <c r="E60" s="38">
        <f t="shared" si="34"/>
        <v>0.1034187783433185</v>
      </c>
      <c r="F60" s="38">
        <f t="shared" si="34"/>
        <v>0.12359290525854695</v>
      </c>
      <c r="G60" s="38">
        <f t="shared" si="34"/>
        <v>0.09318770445068447</v>
      </c>
      <c r="H60" s="38">
        <f t="shared" si="34"/>
        <v>0.05697316236830971</v>
      </c>
      <c r="I60" s="38">
        <f t="shared" si="34"/>
        <v>0.04175793139571774</v>
      </c>
      <c r="J60" s="38">
        <f t="shared" si="34"/>
        <v>0.04175793139571774</v>
      </c>
      <c r="K60" s="38">
        <f t="shared" si="34"/>
        <v>0.04175793139571774</v>
      </c>
      <c r="L60" s="38">
        <f t="shared" si="34"/>
        <v>0.04175793139571774</v>
      </c>
      <c r="M60" s="38">
        <f t="shared" si="34"/>
        <v>0.04175793139571774</v>
      </c>
      <c r="N60" s="38">
        <f t="shared" si="34"/>
        <v>0.027570915835250464</v>
      </c>
      <c r="O60" s="38">
        <f t="shared" si="34"/>
        <v>0.018608748178588996</v>
      </c>
      <c r="P60" s="38">
        <f t="shared" si="34"/>
        <v>0.014871428425733333</v>
      </c>
      <c r="Q60" s="38">
        <f>SUM(B60:P60)</f>
        <v>0.9999999999999999</v>
      </c>
    </row>
    <row r="61" ht="12.75">
      <c r="Q61" s="38"/>
    </row>
    <row r="62" spans="3:17" ht="12.75">
      <c r="C62" s="56">
        <f>SUM(B60:D60)</f>
        <v>0.3529867001609789</v>
      </c>
      <c r="F62" s="56">
        <f>SUM(E60:H60)</f>
        <v>0.3771725504208596</v>
      </c>
      <c r="J62" s="56">
        <f>SUM(I60:M60)</f>
        <v>0.2087896569785887</v>
      </c>
      <c r="O62" s="56">
        <f>SUM(N60:P60)</f>
        <v>0.061051092439572796</v>
      </c>
      <c r="Q62" s="38">
        <f>SUM(B62:P62)</f>
        <v>1</v>
      </c>
    </row>
  </sheetData>
  <sheetProtection sheet="1" objects="1" scenarios="1"/>
  <mergeCells count="16">
    <mergeCell ref="B50:D50"/>
    <mergeCell ref="E50:H50"/>
    <mergeCell ref="I50:M50"/>
    <mergeCell ref="N50:P50"/>
    <mergeCell ref="B40:D40"/>
    <mergeCell ref="E40:H40"/>
    <mergeCell ref="I40:M40"/>
    <mergeCell ref="N40:P40"/>
    <mergeCell ref="N30:P30"/>
    <mergeCell ref="N21:P21"/>
    <mergeCell ref="B21:D21"/>
    <mergeCell ref="B30:D30"/>
    <mergeCell ref="E30:H30"/>
    <mergeCell ref="I30:M30"/>
    <mergeCell ref="E21:H21"/>
    <mergeCell ref="I21:M21"/>
  </mergeCells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50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1" max="1" width="20.7109375" style="2" customWidth="1"/>
    <col min="2" max="2" width="35.140625" style="2" customWidth="1"/>
    <col min="3" max="3" width="32.140625" style="2" customWidth="1"/>
    <col min="4" max="4" width="34.28125" style="2" customWidth="1"/>
    <col min="5" max="16384" width="9.140625" style="2" customWidth="1"/>
  </cols>
  <sheetData>
    <row r="1" spans="1:5" s="4" customFormat="1" ht="12.75">
      <c r="A1" s="4" t="s">
        <v>209</v>
      </c>
      <c r="B1" s="4" t="s">
        <v>27</v>
      </c>
      <c r="C1" s="4" t="s">
        <v>29</v>
      </c>
      <c r="E1" s="4" t="s">
        <v>176</v>
      </c>
    </row>
    <row r="2" ht="12.75">
      <c r="A2" s="21" t="s">
        <v>59</v>
      </c>
    </row>
    <row r="3" spans="1:5" ht="12.75">
      <c r="A3" s="21" t="s">
        <v>60</v>
      </c>
      <c r="B3" s="261" t="s">
        <v>20</v>
      </c>
      <c r="C3" s="261" t="s">
        <v>15</v>
      </c>
      <c r="D3" s="261" t="s">
        <v>33</v>
      </c>
      <c r="E3" s="263">
        <v>36892</v>
      </c>
    </row>
    <row r="4" spans="1:5" ht="12.75">
      <c r="A4" s="21" t="s">
        <v>61</v>
      </c>
      <c r="B4" s="21" t="s">
        <v>21</v>
      </c>
      <c r="C4" s="262" t="s">
        <v>0</v>
      </c>
      <c r="D4" s="262" t="s">
        <v>34</v>
      </c>
      <c r="E4" s="263">
        <v>36923</v>
      </c>
    </row>
    <row r="5" spans="1:5" ht="12.75">
      <c r="A5" s="21" t="s">
        <v>62</v>
      </c>
      <c r="B5" s="21" t="s">
        <v>22</v>
      </c>
      <c r="C5" s="262" t="s">
        <v>1</v>
      </c>
      <c r="D5" s="262" t="s">
        <v>11</v>
      </c>
      <c r="E5" s="263">
        <v>36951</v>
      </c>
    </row>
    <row r="6" spans="1:5" ht="12.75">
      <c r="A6" s="21" t="s">
        <v>210</v>
      </c>
      <c r="B6" s="21" t="s">
        <v>23</v>
      </c>
      <c r="C6" s="262" t="s">
        <v>2</v>
      </c>
      <c r="D6" s="262" t="s">
        <v>35</v>
      </c>
      <c r="E6" s="263">
        <v>36982</v>
      </c>
    </row>
    <row r="7" spans="2:5" ht="12.75">
      <c r="B7" s="21" t="s">
        <v>30</v>
      </c>
      <c r="C7" s="262" t="s">
        <v>197</v>
      </c>
      <c r="D7" s="4"/>
      <c r="E7" s="263">
        <v>37012</v>
      </c>
    </row>
    <row r="8" spans="1:5" ht="12.75">
      <c r="A8" s="4" t="s">
        <v>211</v>
      </c>
      <c r="B8" s="4"/>
      <c r="C8" s="262" t="s">
        <v>3</v>
      </c>
      <c r="D8" s="261" t="s">
        <v>32</v>
      </c>
      <c r="E8" s="263">
        <v>37043</v>
      </c>
    </row>
    <row r="9" spans="1:5" ht="12.75">
      <c r="A9" s="21" t="s">
        <v>64</v>
      </c>
      <c r="B9" s="261" t="s">
        <v>24</v>
      </c>
      <c r="C9" s="4"/>
      <c r="D9" s="262" t="s">
        <v>200</v>
      </c>
      <c r="E9" s="263">
        <v>37073</v>
      </c>
    </row>
    <row r="10" spans="1:5" ht="12.75">
      <c r="A10" s="21" t="s">
        <v>65</v>
      </c>
      <c r="B10" s="4"/>
      <c r="C10" s="261" t="s">
        <v>16</v>
      </c>
      <c r="D10" s="262" t="s">
        <v>14</v>
      </c>
      <c r="E10" s="263">
        <v>37104</v>
      </c>
    </row>
    <row r="11" spans="1:5" ht="12.75">
      <c r="A11" s="21" t="s">
        <v>66</v>
      </c>
      <c r="B11" s="261" t="s">
        <v>25</v>
      </c>
      <c r="C11" s="262" t="s">
        <v>162</v>
      </c>
      <c r="D11" s="262" t="s">
        <v>12</v>
      </c>
      <c r="E11" s="263">
        <v>37135</v>
      </c>
    </row>
    <row r="12" spans="1:5" ht="12.75">
      <c r="A12" s="21" t="s">
        <v>67</v>
      </c>
      <c r="B12" s="4"/>
      <c r="C12" s="262" t="s">
        <v>4</v>
      </c>
      <c r="D12" s="21" t="s">
        <v>201</v>
      </c>
      <c r="E12" s="263">
        <v>37165</v>
      </c>
    </row>
    <row r="13" spans="1:5" ht="12.75">
      <c r="A13" s="21" t="s">
        <v>68</v>
      </c>
      <c r="B13" s="261" t="s">
        <v>26</v>
      </c>
      <c r="C13" s="262" t="s">
        <v>156</v>
      </c>
      <c r="D13" s="262" t="s">
        <v>155</v>
      </c>
      <c r="E13" s="263">
        <v>37196</v>
      </c>
    </row>
    <row r="14" spans="1:5" ht="12.75">
      <c r="A14" s="21" t="s">
        <v>69</v>
      </c>
      <c r="C14" s="262" t="s">
        <v>154</v>
      </c>
      <c r="D14" s="1"/>
      <c r="E14" s="263">
        <v>37226</v>
      </c>
    </row>
    <row r="15" spans="1:5" ht="12.75">
      <c r="A15" s="21" t="s">
        <v>70</v>
      </c>
      <c r="B15" s="261" t="s">
        <v>28</v>
      </c>
      <c r="C15" s="262" t="s">
        <v>198</v>
      </c>
      <c r="D15" s="1"/>
      <c r="E15" s="262">
        <v>2001</v>
      </c>
    </row>
    <row r="16" spans="1:5" ht="12.75">
      <c r="A16" s="21" t="s">
        <v>24</v>
      </c>
      <c r="B16" s="21" t="s">
        <v>205</v>
      </c>
      <c r="C16" s="262" t="s">
        <v>199</v>
      </c>
      <c r="D16" s="264" t="s">
        <v>19</v>
      </c>
      <c r="E16" s="262">
        <v>2002</v>
      </c>
    </row>
    <row r="17" spans="1:5" ht="12.75">
      <c r="A17" s="21" t="s">
        <v>71</v>
      </c>
      <c r="B17" s="21" t="s">
        <v>206</v>
      </c>
      <c r="C17" s="4"/>
      <c r="D17" s="6"/>
      <c r="E17" s="21">
        <v>2003</v>
      </c>
    </row>
    <row r="18" spans="1:5" ht="12.75">
      <c r="A18" s="21" t="s">
        <v>72</v>
      </c>
      <c r="B18" s="21" t="s">
        <v>207</v>
      </c>
      <c r="C18" s="261" t="s">
        <v>17</v>
      </c>
      <c r="D18" s="261" t="s">
        <v>144</v>
      </c>
      <c r="E18" s="21">
        <v>2004</v>
      </c>
    </row>
    <row r="19" spans="1:5" ht="12.75">
      <c r="A19" s="21" t="s">
        <v>26</v>
      </c>
      <c r="B19" s="21" t="s">
        <v>208</v>
      </c>
      <c r="C19" s="262" t="s">
        <v>5</v>
      </c>
      <c r="D19" s="6"/>
      <c r="E19" s="21">
        <v>2005</v>
      </c>
    </row>
    <row r="20" spans="1:4" ht="12.75">
      <c r="A20" s="21" t="s">
        <v>166</v>
      </c>
      <c r="B20" s="21" t="s">
        <v>28</v>
      </c>
      <c r="C20" s="262" t="s">
        <v>6</v>
      </c>
      <c r="D20" s="264" t="s">
        <v>31</v>
      </c>
    </row>
    <row r="21" spans="1:4" ht="12.75">
      <c r="A21" s="21" t="s">
        <v>212</v>
      </c>
      <c r="C21" s="4"/>
      <c r="D21" s="262" t="s">
        <v>13</v>
      </c>
    </row>
    <row r="22" spans="1:5" ht="12.75">
      <c r="A22" s="21" t="s">
        <v>146</v>
      </c>
      <c r="C22" s="261" t="s">
        <v>18</v>
      </c>
      <c r="D22" s="262" t="s">
        <v>202</v>
      </c>
      <c r="E22" s="1"/>
    </row>
    <row r="23" spans="1:4" ht="12.75">
      <c r="A23" s="21" t="s">
        <v>73</v>
      </c>
      <c r="C23" s="262" t="s">
        <v>7</v>
      </c>
      <c r="D23" s="262" t="s">
        <v>203</v>
      </c>
    </row>
    <row r="24" spans="3:4" ht="12.75">
      <c r="C24" s="262" t="s">
        <v>8</v>
      </c>
      <c r="D24" s="262" t="s">
        <v>204</v>
      </c>
    </row>
    <row r="25" spans="1:4" ht="12.75">
      <c r="A25" s="4" t="s">
        <v>210</v>
      </c>
      <c r="C25" s="265" t="s">
        <v>9</v>
      </c>
      <c r="D25" s="4"/>
    </row>
    <row r="26" spans="1:4" ht="12.75">
      <c r="A26" s="21" t="s">
        <v>163</v>
      </c>
      <c r="C26" s="21" t="s">
        <v>10</v>
      </c>
      <c r="D26" s="4"/>
    </row>
    <row r="27" spans="1:4" ht="12.75">
      <c r="A27" s="21" t="s">
        <v>165</v>
      </c>
      <c r="C27" s="4"/>
      <c r="D27" s="4"/>
    </row>
    <row r="28" ht="12.75">
      <c r="A28" s="21" t="s">
        <v>164</v>
      </c>
    </row>
    <row r="50" ht="12.75">
      <c r="C50" s="4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27"/>
  <sheetViews>
    <sheetView workbookViewId="0" topLeftCell="A95">
      <selection activeCell="A112" sqref="A112"/>
    </sheetView>
  </sheetViews>
  <sheetFormatPr defaultColWidth="9.140625" defaultRowHeight="12.75"/>
  <cols>
    <col min="1" max="1" width="29.8515625" style="2" customWidth="1"/>
    <col min="2" max="2" width="12.7109375" style="2" customWidth="1"/>
    <col min="3" max="3" width="14.00390625" style="2" customWidth="1"/>
    <col min="4" max="16" width="12.7109375" style="2" customWidth="1"/>
    <col min="17" max="16384" width="9.140625" style="2" customWidth="1"/>
  </cols>
  <sheetData>
    <row r="1" ht="12.75">
      <c r="A1" s="2" t="s">
        <v>189</v>
      </c>
    </row>
    <row r="3" spans="2:10" ht="12.75">
      <c r="B3" s="2" t="str">
        <f>'Chart of Accounts'!A2</f>
        <v>Conservation</v>
      </c>
      <c r="C3" s="2" t="str">
        <f>'Chart of Accounts'!A3</f>
        <v>Outreach</v>
      </c>
      <c r="D3" s="2" t="str">
        <f>'Chart of Accounts'!A4</f>
        <v>Development</v>
      </c>
      <c r="E3" s="2" t="str">
        <f>'Chart of Accounts'!A5</f>
        <v>Administration</v>
      </c>
      <c r="F3" s="2" t="str">
        <f>'Chart of Accounts'!$A$26</f>
        <v>Waterfall</v>
      </c>
      <c r="G3" s="2" t="str">
        <f>'Chart of Accounts'!$A$27</f>
        <v>Lookout</v>
      </c>
      <c r="H3" s="2" t="str">
        <f>'Chart of Accounts'!$A$28</f>
        <v>Bluff</v>
      </c>
      <c r="I3" s="15"/>
      <c r="J3" s="15"/>
    </row>
    <row r="4" spans="2:18" ht="12.75">
      <c r="B4" s="30">
        <f>'1Year Detailed Functional Bud.'!E73</f>
        <v>127293.70879711014</v>
      </c>
      <c r="C4" s="30">
        <f>'1Year Detailed Functional Bud.'!J73</f>
        <v>132193.552424131</v>
      </c>
      <c r="D4" s="30">
        <f>'1Year Detailed Functional Bud.'!P73</f>
        <v>99183.49242282633</v>
      </c>
      <c r="E4" s="30">
        <f>'1Year Detailed Functional Bud.'!W73</f>
        <v>24678.29135593255</v>
      </c>
      <c r="F4" s="30">
        <f>'1 Year General Op.  Cap. Budget'!F21</f>
        <v>1500</v>
      </c>
      <c r="G4" s="30">
        <f>'1 Year General Op.  Cap. Budget'!G21</f>
        <v>0</v>
      </c>
      <c r="H4" s="30">
        <f>'1 Year General Op.  Cap. Budget'!H21</f>
        <v>2000</v>
      </c>
      <c r="Q4" s="15"/>
      <c r="R4" s="15"/>
    </row>
    <row r="5" spans="1:18" ht="12.75">
      <c r="A5" s="89">
        <f>SUM(B5:E5)</f>
        <v>1</v>
      </c>
      <c r="B5" s="89">
        <f>B4/(SUM($B$4:$E$4))</f>
        <v>0.3320569346849688</v>
      </c>
      <c r="C5" s="89">
        <f>C4/(SUM($B$4:$E$4))</f>
        <v>0.34483861156907536</v>
      </c>
      <c r="D5" s="89">
        <f>D4/(SUM($B$4:$E$4))</f>
        <v>0.2587289409389981</v>
      </c>
      <c r="E5" s="89">
        <f>E4/(SUM($B$4:$E$4))</f>
        <v>0.06437551280695783</v>
      </c>
      <c r="F5" s="89">
        <f>F4/SUM($F$4:$H$4)</f>
        <v>0.42857142857142855</v>
      </c>
      <c r="G5" s="89">
        <f>G4/SUM($F$4:$H$4)</f>
        <v>0</v>
      </c>
      <c r="H5" s="89">
        <f>H4/SUM($F$4:$H$4)</f>
        <v>0.5714285714285714</v>
      </c>
      <c r="Q5" s="15"/>
      <c r="R5" s="15"/>
    </row>
    <row r="6" spans="2:18" ht="12.75">
      <c r="B6" s="30"/>
      <c r="C6" s="30"/>
      <c r="D6" s="30"/>
      <c r="E6" s="30"/>
      <c r="F6" s="33"/>
      <c r="G6" s="33"/>
      <c r="H6" s="33"/>
      <c r="Q6" s="15"/>
      <c r="R6" s="15"/>
    </row>
    <row r="7" spans="2:16" ht="12.75">
      <c r="B7" s="35" t="str">
        <f>'Chart of Accounts'!$A$9</f>
        <v>Protection</v>
      </c>
      <c r="C7" s="35" t="str">
        <f>'Chart of Accounts'!$A$10</f>
        <v>Stewardship</v>
      </c>
      <c r="D7" s="35" t="str">
        <f>'Chart of Accounts'!$A$11</f>
        <v>Monitoring</v>
      </c>
      <c r="E7" s="35" t="str">
        <f>'Chart of Accounts'!$A$12</f>
        <v>Landowner</v>
      </c>
      <c r="F7" s="35" t="str">
        <f>'Chart of Accounts'!$A$13</f>
        <v>Public</v>
      </c>
      <c r="G7" s="35" t="str">
        <f>'Chart of Accounts'!$A$14</f>
        <v>Networking</v>
      </c>
      <c r="H7" s="35" t="str">
        <f>'Chart of Accounts'!$A$15</f>
        <v>Advocacy</v>
      </c>
      <c r="I7" s="35" t="str">
        <f>'Chart of Accounts'!$A$16</f>
        <v>Major Donors</v>
      </c>
      <c r="J7" s="35" t="str">
        <f>'Chart of Accounts'!$A$17</f>
        <v>Membership</v>
      </c>
      <c r="K7" s="35" t="str">
        <f>'Chart of Accounts'!$A$18</f>
        <v>Contributions</v>
      </c>
      <c r="L7" s="35" t="str">
        <f>'Chart of Accounts'!$A$19</f>
        <v>Grants</v>
      </c>
      <c r="M7" s="35" t="str">
        <f>'Chart of Accounts'!$A$20</f>
        <v>Misc. Dev.</v>
      </c>
      <c r="N7" s="35" t="str">
        <f>'Chart of Accounts'!$A$21</f>
        <v>Bd. Dev./ Mgt.</v>
      </c>
      <c r="O7" s="35" t="str">
        <f>'Chart of Accounts'!$A$22</f>
        <v>Staff Dev.</v>
      </c>
      <c r="P7" s="35" t="str">
        <f>'Chart of Accounts'!$A$23</f>
        <v>Gen. Admin.</v>
      </c>
    </row>
    <row r="8" spans="2:16" ht="12.75">
      <c r="B8" s="30">
        <f>'1Year Detailed Functional Bud.'!F73</f>
        <v>38372.08394802621</v>
      </c>
      <c r="C8" s="30">
        <f>'1Year Detailed Functional Bud.'!G73</f>
        <v>42784.681027152896</v>
      </c>
      <c r="D8" s="30">
        <f>'1Year Detailed Functional Bud.'!H73</f>
        <v>46136.94382193099</v>
      </c>
      <c r="E8" s="30">
        <f>'1Year Detailed Functional Bud.'!K73</f>
        <v>36517.760047592914</v>
      </c>
      <c r="F8" s="30">
        <f>'1Year Detailed Functional Bud.'!L73</f>
        <v>43174.31592959512</v>
      </c>
      <c r="G8" s="30">
        <f>'1Year Detailed Functional Bud.'!M73</f>
        <v>32364.466699987217</v>
      </c>
      <c r="H8" s="30">
        <f>'1Year Detailed Functional Bud.'!N73</f>
        <v>20137.009746955737</v>
      </c>
      <c r="I8" s="30">
        <f>'1Year Detailed Functional Bud.'!Q73</f>
        <v>23152.698484565266</v>
      </c>
      <c r="J8" s="30">
        <f>'1Year Detailed Functional Bud.'!R73</f>
        <v>32522.698484565262</v>
      </c>
      <c r="K8" s="30">
        <f>'1Year Detailed Functional Bud.'!S73</f>
        <v>14502.698484565266</v>
      </c>
      <c r="L8" s="30">
        <f>'1Year Detailed Functional Bud.'!T73</f>
        <v>14502.698484565266</v>
      </c>
      <c r="M8" s="30">
        <f>'1Year Detailed Functional Bud.'!U73</f>
        <v>14502.698484565266</v>
      </c>
      <c r="N8" s="30">
        <f>'1Year Detailed Functional Bud.'!X73</f>
        <v>9575.490593937038</v>
      </c>
      <c r="O8" s="30">
        <f>'1Year Detailed Functional Bud.'!Y73</f>
        <v>8962.893514810341</v>
      </c>
      <c r="P8" s="30">
        <f>'1Year Detailed Functional Bud.'!Z73</f>
        <v>6139.907247185168</v>
      </c>
    </row>
    <row r="9" spans="2:17" ht="12.75">
      <c r="B9" s="89">
        <f>B8/(SUM($B$8:$P$8))</f>
        <v>0.10009698588925979</v>
      </c>
      <c r="C9" s="89">
        <f aca="true" t="shared" si="0" ref="C9:P9">C8/(SUM($B$8:$P$8))</f>
        <v>0.11160763691781965</v>
      </c>
      <c r="D9" s="89">
        <f t="shared" si="0"/>
        <v>0.12035231187788924</v>
      </c>
      <c r="E9" s="89">
        <f t="shared" si="0"/>
        <v>0.09525981745328965</v>
      </c>
      <c r="F9" s="89">
        <f t="shared" si="0"/>
        <v>0.11262403413472734</v>
      </c>
      <c r="G9" s="89">
        <f t="shared" si="0"/>
        <v>0.0844255832174754</v>
      </c>
      <c r="H9" s="89">
        <f t="shared" si="0"/>
        <v>0.05252917676358302</v>
      </c>
      <c r="I9" s="89">
        <f t="shared" si="0"/>
        <v>0.060395868429945536</v>
      </c>
      <c r="J9" s="89">
        <f t="shared" si="0"/>
        <v>0.08483834486809604</v>
      </c>
      <c r="K9" s="89">
        <f t="shared" si="0"/>
        <v>0.03783157588031886</v>
      </c>
      <c r="L9" s="89">
        <f t="shared" si="0"/>
        <v>0.03783157588031886</v>
      </c>
      <c r="M9" s="89">
        <f t="shared" si="0"/>
        <v>0.03783157588031886</v>
      </c>
      <c r="N9" s="89">
        <f t="shared" si="0"/>
        <v>0.024978516886450156</v>
      </c>
      <c r="O9" s="89">
        <f t="shared" si="0"/>
        <v>0.023380503047321647</v>
      </c>
      <c r="P9" s="89">
        <f t="shared" si="0"/>
        <v>0.016016492873186024</v>
      </c>
      <c r="Q9" s="204">
        <f>SUM(B9:P9)</f>
        <v>1</v>
      </c>
    </row>
    <row r="11" spans="1:6" ht="12.75">
      <c r="A11" s="2" t="s">
        <v>190</v>
      </c>
      <c r="B11" s="2">
        <f>'Chart of Accounts'!$E$15</f>
        <v>2001</v>
      </c>
      <c r="C11" s="2">
        <f>'Chart of Accounts'!$E$16</f>
        <v>2002</v>
      </c>
      <c r="D11" s="2">
        <f>'Chart of Accounts'!$E$17</f>
        <v>2003</v>
      </c>
      <c r="E11" s="2">
        <f>'Chart of Accounts'!$E$18</f>
        <v>2004</v>
      </c>
      <c r="F11" s="2">
        <f>'Chart of Accounts'!$E$19</f>
        <v>2005</v>
      </c>
    </row>
    <row r="12" spans="1:6" ht="12.75">
      <c r="A12" s="2" t="str">
        <f>'Chart of Accounts'!B3</f>
        <v>Memberships/Contributions</v>
      </c>
      <c r="B12" s="11">
        <f>'5 Year Summary '!B4</f>
        <v>127200</v>
      </c>
      <c r="C12" s="11">
        <f>'5 Year Summary '!C4</f>
        <v>130950</v>
      </c>
      <c r="D12" s="11">
        <f>'5 Year Summary '!D4</f>
        <v>133762.5</v>
      </c>
      <c r="E12" s="11">
        <f>'5 Year Summary '!E4</f>
        <v>135871.875</v>
      </c>
      <c r="F12" s="11">
        <f>'5 Year Summary '!F4</f>
        <v>144953.90625</v>
      </c>
    </row>
    <row r="13" spans="1:6" ht="12.75">
      <c r="A13" s="2" t="str">
        <f>'Chart of Accounts'!B9</f>
        <v>Major Donors</v>
      </c>
      <c r="B13" s="11">
        <f>'5 Year Summary '!B5</f>
        <v>105000</v>
      </c>
      <c r="C13" s="11">
        <f>'5 Year Summary '!C5</f>
        <v>80000</v>
      </c>
      <c r="D13" s="11">
        <f>'5 Year Summary '!D5</f>
        <v>40000</v>
      </c>
      <c r="E13" s="11">
        <f>'5 Year Summary '!E5</f>
        <v>30000</v>
      </c>
      <c r="F13" s="11">
        <f>'5 Year Summary '!F5</f>
        <v>50000</v>
      </c>
    </row>
    <row r="14" spans="1:6" ht="12.75">
      <c r="A14" s="2" t="str">
        <f>'Chart of Accounts'!B11</f>
        <v>Workplace Giving</v>
      </c>
      <c r="B14" s="11">
        <f>'5 Year Summary '!B6</f>
        <v>3000</v>
      </c>
      <c r="C14" s="11">
        <f>'5 Year Summary '!C6</f>
        <v>0</v>
      </c>
      <c r="D14" s="11">
        <f>'5 Year Summary '!D6</f>
        <v>0</v>
      </c>
      <c r="E14" s="11">
        <f>'5 Year Summary '!E6</f>
        <v>0</v>
      </c>
      <c r="F14" s="11">
        <f>'5 Year Summary '!F6</f>
        <v>0</v>
      </c>
    </row>
    <row r="15" spans="1:6" ht="12.75">
      <c r="A15" s="2" t="str">
        <f>'Chart of Accounts'!B13</f>
        <v>Grants</v>
      </c>
      <c r="B15" s="11">
        <f>'5 Year Summary '!B7</f>
        <v>138500</v>
      </c>
      <c r="C15" s="11">
        <f>'5 Year Summary '!C7</f>
        <v>170000</v>
      </c>
      <c r="D15" s="11">
        <f>'5 Year Summary '!D7</f>
        <v>170000</v>
      </c>
      <c r="E15" s="11">
        <f>'5 Year Summary '!E7</f>
        <v>170000</v>
      </c>
      <c r="F15" s="11">
        <f>'5 Year Summary '!F7</f>
        <v>170000</v>
      </c>
    </row>
    <row r="16" spans="1:6" ht="12.75">
      <c r="A16" s="2" t="str">
        <f>'Chart of Accounts'!B15</f>
        <v>Other Income</v>
      </c>
      <c r="B16" s="11">
        <f>'5 Year Summary '!B8</f>
        <v>90507.66672160268</v>
      </c>
      <c r="C16" s="11">
        <f>'5 Year Summary '!C8</f>
        <v>90048.86897377283</v>
      </c>
      <c r="D16" s="11">
        <f>'5 Year Summary '!D8</f>
        <v>73040.173138563</v>
      </c>
      <c r="E16" s="11">
        <f>'5 Year Summary '!E8</f>
        <v>72661.3129276715</v>
      </c>
      <c r="F16" s="11">
        <f>'5 Year Summary '!F8</f>
        <v>72607.50961149289</v>
      </c>
    </row>
    <row r="18" spans="1:6" ht="12.75">
      <c r="A18" s="2" t="s">
        <v>191</v>
      </c>
      <c r="B18" s="2">
        <f>'Chart of Accounts'!$E$15</f>
        <v>2001</v>
      </c>
      <c r="C18" s="2">
        <f>'Chart of Accounts'!$E$16</f>
        <v>2002</v>
      </c>
      <c r="D18" s="2">
        <f>'Chart of Accounts'!$E$17</f>
        <v>2003</v>
      </c>
      <c r="E18" s="2">
        <f>'Chart of Accounts'!$E$18</f>
        <v>2004</v>
      </c>
      <c r="F18" s="2">
        <f>'Chart of Accounts'!$E$19</f>
        <v>2005</v>
      </c>
    </row>
    <row r="19" spans="1:6" ht="12.75">
      <c r="A19" s="2" t="str">
        <f>'5 Year Summary '!A12</f>
        <v>Salaries, Taxes, and Benefits</v>
      </c>
      <c r="B19" s="11">
        <f>'5 Year Summary '!B12</f>
        <v>328834.0449999999</v>
      </c>
      <c r="C19" s="11">
        <f>'5 Year Summary '!C12</f>
        <v>352582.84837499994</v>
      </c>
      <c r="D19" s="11">
        <f>'5 Year Summary '!D12</f>
        <v>360782.4495</v>
      </c>
      <c r="E19" s="11">
        <f>'5 Year Summary '!E12</f>
        <v>364062.28995</v>
      </c>
      <c r="F19" s="11">
        <f>'5 Year Summary '!F12</f>
        <v>367342.1304</v>
      </c>
    </row>
    <row r="20" spans="1:6" ht="12.75">
      <c r="A20" s="2" t="str">
        <f>'5 Year Summary '!A13</f>
        <v>Professional Services</v>
      </c>
      <c r="B20" s="11">
        <f>'5 Year Summary '!B13</f>
        <v>18300</v>
      </c>
      <c r="C20" s="11">
        <f>'5 Year Summary '!C13</f>
        <v>18550</v>
      </c>
      <c r="D20" s="11">
        <f>'5 Year Summary '!D13</f>
        <v>9800</v>
      </c>
      <c r="E20" s="11">
        <f>'5 Year Summary '!E13</f>
        <v>9800</v>
      </c>
      <c r="F20" s="11">
        <f>'5 Year Summary '!F13</f>
        <v>10100</v>
      </c>
    </row>
    <row r="21" spans="1:6" ht="12.75">
      <c r="A21" s="2" t="str">
        <f>'5 Year Summary '!A14</f>
        <v>Telephone</v>
      </c>
      <c r="B21" s="11">
        <f>'5 Year Summary '!B14</f>
        <v>2400</v>
      </c>
      <c r="C21" s="11">
        <f>'5 Year Summary '!C14</f>
        <v>3000</v>
      </c>
      <c r="D21" s="11">
        <f>'5 Year Summary '!D14</f>
        <v>3000</v>
      </c>
      <c r="E21" s="11">
        <f>'5 Year Summary '!E14</f>
        <v>3000</v>
      </c>
      <c r="F21" s="11">
        <f>'5 Year Summary '!F14</f>
        <v>3000</v>
      </c>
    </row>
    <row r="22" spans="1:6" ht="12.75">
      <c r="A22" s="2" t="str">
        <f>'5 Year Summary '!A15</f>
        <v>Occupancy</v>
      </c>
      <c r="B22" s="11">
        <f>'5 Year Summary '!B15</f>
        <v>7299.999999999999</v>
      </c>
      <c r="C22" s="11">
        <f>'5 Year Summary '!C15</f>
        <v>6900</v>
      </c>
      <c r="D22" s="11">
        <f>'5 Year Summary '!D15</f>
        <v>6900</v>
      </c>
      <c r="E22" s="11">
        <f>'5 Year Summary '!E15</f>
        <v>6900</v>
      </c>
      <c r="F22" s="11">
        <f>'5 Year Summary '!F15</f>
        <v>6900</v>
      </c>
    </row>
    <row r="23" spans="1:6" ht="12.75">
      <c r="A23" s="2" t="str">
        <f>'5 Year Summary '!A16</f>
        <v>Equipment</v>
      </c>
      <c r="B23" s="11">
        <f>'5 Year Summary '!B16</f>
        <v>4019.9999999999995</v>
      </c>
      <c r="C23" s="11">
        <f>'5 Year Summary '!C16</f>
        <v>4200</v>
      </c>
      <c r="D23" s="11">
        <f>'5 Year Summary '!D16</f>
        <v>4200</v>
      </c>
      <c r="E23" s="11">
        <f>'5 Year Summary '!E16</f>
        <v>4200</v>
      </c>
      <c r="F23" s="11">
        <f>'5 Year Summary '!F16</f>
        <v>4200</v>
      </c>
    </row>
    <row r="24" spans="1:6" ht="12.75">
      <c r="A24" s="2" t="str">
        <f>'5 Year Summary '!A17</f>
        <v>General  / Misc.</v>
      </c>
      <c r="B24" s="11">
        <f>'5 Year Summary '!B17</f>
        <v>7300</v>
      </c>
      <c r="C24" s="11">
        <f>'5 Year Summary '!C17</f>
        <v>5900</v>
      </c>
      <c r="D24" s="11">
        <f>'5 Year Summary '!D17</f>
        <v>5700</v>
      </c>
      <c r="E24" s="11">
        <f>'5 Year Summary '!E17</f>
        <v>5700</v>
      </c>
      <c r="F24" s="11">
        <f>'5 Year Summary '!F17</f>
        <v>5700</v>
      </c>
    </row>
    <row r="25" spans="1:6" ht="12.75">
      <c r="A25" s="2" t="str">
        <f>'5 Year Summary '!A18</f>
        <v>Postage</v>
      </c>
      <c r="B25" s="11">
        <f>'5 Year Summary '!B18</f>
        <v>8545</v>
      </c>
      <c r="C25" s="11">
        <f>'5 Year Summary '!C18</f>
        <v>8333</v>
      </c>
      <c r="D25" s="11">
        <f>'5 Year Summary '!D18</f>
        <v>8642.75</v>
      </c>
      <c r="E25" s="11">
        <f>'5 Year Summary '!E18</f>
        <v>8950.0625</v>
      </c>
      <c r="F25" s="11">
        <f>'5 Year Summary '!F18</f>
        <v>9385.546875</v>
      </c>
    </row>
    <row r="26" spans="1:6" ht="12.75">
      <c r="A26" s="2" t="str">
        <f>'5 Year Summary '!A19</f>
        <v>Travel</v>
      </c>
      <c r="B26" s="11">
        <f>'5 Year Summary '!B19</f>
        <v>0</v>
      </c>
      <c r="C26" s="11">
        <f>'5 Year Summary '!C19</f>
        <v>0</v>
      </c>
      <c r="D26" s="11">
        <f>'5 Year Summary '!D19</f>
        <v>0</v>
      </c>
      <c r="E26" s="11">
        <f>'5 Year Summary '!E19</f>
        <v>2500</v>
      </c>
      <c r="F26" s="11">
        <f>'5 Year Summary '!F19</f>
        <v>0</v>
      </c>
    </row>
    <row r="27" spans="1:6" ht="12.75">
      <c r="A27" s="2" t="str">
        <f>'5 Year Summary '!A20</f>
        <v>Project Expenses</v>
      </c>
      <c r="B27" s="11">
        <f>'5 Year Summary '!B20</f>
        <v>10150</v>
      </c>
      <c r="C27" s="11">
        <f>'5 Year Summary '!C20</f>
        <v>10120</v>
      </c>
      <c r="D27" s="11">
        <f>'5 Year Summary '!D20</f>
        <v>65135</v>
      </c>
      <c r="E27" s="11">
        <f>'5 Year Summary '!E20</f>
        <v>10146.25</v>
      </c>
      <c r="F27" s="11">
        <f>'5 Year Summary '!F20</f>
        <v>10354.6875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2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2" customWidth="1"/>
    <col min="2" max="2" width="18.57421875" style="2" customWidth="1"/>
    <col min="3" max="6" width="12.7109375" style="2" customWidth="1"/>
    <col min="7" max="16384" width="9.140625" style="2" customWidth="1"/>
  </cols>
  <sheetData>
    <row r="2" spans="1:6" ht="12.75">
      <c r="A2" s="5"/>
      <c r="B2" s="4">
        <f>'Chart of Accounts'!$E$15</f>
        <v>2001</v>
      </c>
      <c r="C2" s="4">
        <f>'Chart of Accounts'!$E$16</f>
        <v>2002</v>
      </c>
      <c r="D2" s="4">
        <f>'Chart of Accounts'!$E$17</f>
        <v>2003</v>
      </c>
      <c r="E2" s="4">
        <f>'Chart of Accounts'!$E$18</f>
        <v>2004</v>
      </c>
      <c r="F2" s="4">
        <f>'Chart of Accounts'!$E$19</f>
        <v>2005</v>
      </c>
    </row>
    <row r="3" ht="12.75">
      <c r="A3" s="4" t="s">
        <v>41</v>
      </c>
    </row>
    <row r="4" spans="1:6" ht="12.75">
      <c r="A4" s="2" t="str">
        <f>'Chart of Accounts'!$B$3</f>
        <v>Memberships/Contributions</v>
      </c>
      <c r="B4" s="11">
        <f>'Cash Budget'!N5</f>
        <v>127200</v>
      </c>
      <c r="C4" s="11">
        <f>'Cash Budget'!O5</f>
        <v>130950</v>
      </c>
      <c r="D4" s="11">
        <f>'Cash Budget'!P5</f>
        <v>133762.5</v>
      </c>
      <c r="E4" s="11">
        <f>'Cash Budget'!Q5</f>
        <v>135871.875</v>
      </c>
      <c r="F4" s="11">
        <f>'Cash Budget'!R5</f>
        <v>144953.90625</v>
      </c>
    </row>
    <row r="5" spans="1:6" ht="12.75">
      <c r="A5" s="2" t="str">
        <f>'Chart of Accounts'!$B$9</f>
        <v>Major Donors</v>
      </c>
      <c r="B5" s="12">
        <f>'Cash Budget'!N6</f>
        <v>105000</v>
      </c>
      <c r="C5" s="12">
        <f>'Cash Budget'!O6</f>
        <v>80000</v>
      </c>
      <c r="D5" s="12">
        <f>'Cash Budget'!P6</f>
        <v>40000</v>
      </c>
      <c r="E5" s="12">
        <f>'Cash Budget'!Q6</f>
        <v>30000</v>
      </c>
      <c r="F5" s="12">
        <f>'Cash Budget'!R6</f>
        <v>50000</v>
      </c>
    </row>
    <row r="6" spans="1:6" ht="12.75">
      <c r="A6" s="2" t="str">
        <f>'Chart of Accounts'!$B$11</f>
        <v>Workplace Giving</v>
      </c>
      <c r="B6" s="12">
        <f>'Cash Budget'!N7</f>
        <v>3000</v>
      </c>
      <c r="C6" s="12">
        <f>'Cash Budget'!O7</f>
        <v>0</v>
      </c>
      <c r="D6" s="12">
        <f>'Cash Budget'!P7</f>
        <v>0</v>
      </c>
      <c r="E6" s="12">
        <f>'Cash Budget'!Q7</f>
        <v>0</v>
      </c>
      <c r="F6" s="12">
        <f>'Cash Budget'!R7</f>
        <v>0</v>
      </c>
    </row>
    <row r="7" spans="1:6" ht="12.75">
      <c r="A7" s="2" t="str">
        <f>'Chart of Accounts'!$B$13</f>
        <v>Grants</v>
      </c>
      <c r="B7" s="12">
        <f>'Cash Budget'!N8</f>
        <v>138500</v>
      </c>
      <c r="C7" s="12">
        <f>'Cash Budget'!O8</f>
        <v>170000</v>
      </c>
      <c r="D7" s="12">
        <f>'Cash Budget'!P8</f>
        <v>170000</v>
      </c>
      <c r="E7" s="12">
        <f>'Cash Budget'!Q8</f>
        <v>170000</v>
      </c>
      <c r="F7" s="12">
        <f>'Cash Budget'!R8</f>
        <v>170000</v>
      </c>
    </row>
    <row r="8" spans="1:6" ht="13.5" thickBot="1">
      <c r="A8" s="2" t="str">
        <f>'Chart of Accounts'!$B$15</f>
        <v>Other Income</v>
      </c>
      <c r="B8" s="13">
        <f>'Cash Budget'!N9</f>
        <v>90507.66672160268</v>
      </c>
      <c r="C8" s="13">
        <f>'Cash Budget'!O9</f>
        <v>90048.86897377283</v>
      </c>
      <c r="D8" s="13">
        <f>'Cash Budget'!P9</f>
        <v>73040.173138563</v>
      </c>
      <c r="E8" s="13">
        <f>'Cash Budget'!Q9</f>
        <v>72661.3129276715</v>
      </c>
      <c r="F8" s="13">
        <f>'Cash Budget'!R9</f>
        <v>72607.50961149289</v>
      </c>
    </row>
    <row r="9" spans="1:6" ht="15">
      <c r="A9" s="4" t="s">
        <v>42</v>
      </c>
      <c r="B9" s="224">
        <f>SUM(B4:B8)</f>
        <v>464207.66672160267</v>
      </c>
      <c r="C9" s="224">
        <f>SUM(C4:C8)</f>
        <v>470998.86897377286</v>
      </c>
      <c r="D9" s="224">
        <f>SUM(D4:D8)</f>
        <v>416802.673138563</v>
      </c>
      <c r="E9" s="224">
        <f>SUM(E4:E8)</f>
        <v>408533.1879276715</v>
      </c>
      <c r="F9" s="224">
        <f>SUM(F4:F8)</f>
        <v>437561.41586149286</v>
      </c>
    </row>
    <row r="10" spans="3:6" ht="12.75">
      <c r="C10" s="12"/>
      <c r="D10" s="12"/>
      <c r="E10" s="12"/>
      <c r="F10" s="12"/>
    </row>
    <row r="11" spans="1:6" ht="12.75">
      <c r="A11" s="4" t="s">
        <v>43</v>
      </c>
      <c r="C11" s="12"/>
      <c r="D11" s="12"/>
      <c r="E11" s="12"/>
      <c r="F11" s="12"/>
    </row>
    <row r="12" spans="1:6" ht="12.75">
      <c r="A12" s="2" t="str">
        <f>'Chart of Accounts'!$C$3</f>
        <v>Salaries, Taxes, and Benefits</v>
      </c>
      <c r="B12" s="11">
        <f>'Cash Budget'!N13</f>
        <v>328834.0449999999</v>
      </c>
      <c r="C12" s="11">
        <f>'Cash Budget'!O13</f>
        <v>352582.84837499994</v>
      </c>
      <c r="D12" s="11">
        <f>'Cash Budget'!P13</f>
        <v>360782.4495</v>
      </c>
      <c r="E12" s="11">
        <f>'Cash Budget'!Q13</f>
        <v>364062.28995</v>
      </c>
      <c r="F12" s="11">
        <f>'Cash Budget'!R13</f>
        <v>367342.1304</v>
      </c>
    </row>
    <row r="13" spans="1:6" ht="12.75">
      <c r="A13" s="2" t="str">
        <f>'Chart of Accounts'!$C$10</f>
        <v>Professional Services</v>
      </c>
      <c r="B13" s="12">
        <f>'Cash Budget'!N14</f>
        <v>18300</v>
      </c>
      <c r="C13" s="12">
        <f>'Cash Budget'!O14</f>
        <v>18550</v>
      </c>
      <c r="D13" s="12">
        <f>'Cash Budget'!P14</f>
        <v>9800</v>
      </c>
      <c r="E13" s="12">
        <f>'Cash Budget'!Q14</f>
        <v>9800</v>
      </c>
      <c r="F13" s="12">
        <f>'Cash Budget'!R14</f>
        <v>10100</v>
      </c>
    </row>
    <row r="14" spans="1:6" ht="12.75">
      <c r="A14" s="2" t="str">
        <f>'Chart of Accounts'!$C$18</f>
        <v>Telephone</v>
      </c>
      <c r="B14" s="12">
        <f>'Cash Budget'!N15</f>
        <v>2400</v>
      </c>
      <c r="C14" s="12">
        <f>'Cash Budget'!O15</f>
        <v>3000</v>
      </c>
      <c r="D14" s="12">
        <f>'Cash Budget'!P15</f>
        <v>3000</v>
      </c>
      <c r="E14" s="12">
        <f>'Cash Budget'!Q15</f>
        <v>3000</v>
      </c>
      <c r="F14" s="12">
        <f>'Cash Budget'!R15</f>
        <v>3000</v>
      </c>
    </row>
    <row r="15" spans="1:6" ht="12.75">
      <c r="A15" s="2" t="str">
        <f>'Chart of Accounts'!$C$22</f>
        <v>Occupancy</v>
      </c>
      <c r="B15" s="12">
        <f>'Cash Budget'!N16</f>
        <v>7299.999999999999</v>
      </c>
      <c r="C15" s="12">
        <f>'Cash Budget'!O16</f>
        <v>6900</v>
      </c>
      <c r="D15" s="12">
        <f>'Cash Budget'!P16</f>
        <v>6900</v>
      </c>
      <c r="E15" s="12">
        <f>'Cash Budget'!Q16</f>
        <v>6900</v>
      </c>
      <c r="F15" s="12">
        <f>'Cash Budget'!R16</f>
        <v>6900</v>
      </c>
    </row>
    <row r="16" spans="1:6" ht="12.75">
      <c r="A16" s="2" t="str">
        <f>'Chart of Accounts'!$D$3</f>
        <v>Equipment</v>
      </c>
      <c r="B16" s="12">
        <f>'Cash Budget'!N17</f>
        <v>4019.9999999999995</v>
      </c>
      <c r="C16" s="12">
        <f>'Cash Budget'!O17</f>
        <v>4200</v>
      </c>
      <c r="D16" s="12">
        <f>'Cash Budget'!P17</f>
        <v>4200</v>
      </c>
      <c r="E16" s="12">
        <f>'Cash Budget'!Q17</f>
        <v>4200</v>
      </c>
      <c r="F16" s="12">
        <f>'Cash Budget'!R17</f>
        <v>4200</v>
      </c>
    </row>
    <row r="17" spans="1:6" ht="12.75">
      <c r="A17" s="2" t="str">
        <f>'Chart of Accounts'!$D$8</f>
        <v>General  / Misc.</v>
      </c>
      <c r="B17" s="12">
        <f>'Cash Budget'!N18</f>
        <v>7300</v>
      </c>
      <c r="C17" s="12">
        <f>'Cash Budget'!O18</f>
        <v>5900</v>
      </c>
      <c r="D17" s="12">
        <f>'Cash Budget'!P18</f>
        <v>5700</v>
      </c>
      <c r="E17" s="12">
        <f>'Cash Budget'!Q18</f>
        <v>5700</v>
      </c>
      <c r="F17" s="12">
        <f>'Cash Budget'!R18</f>
        <v>5700</v>
      </c>
    </row>
    <row r="18" spans="1:6" ht="12.75">
      <c r="A18" s="2" t="str">
        <f>'Chart of Accounts'!$D$16</f>
        <v>Postage</v>
      </c>
      <c r="B18" s="12">
        <f>'Cash Budget'!N19</f>
        <v>8545</v>
      </c>
      <c r="C18" s="12">
        <f>'Cash Budget'!O19</f>
        <v>8333</v>
      </c>
      <c r="D18" s="12">
        <f>'Cash Budget'!P19</f>
        <v>8642.75</v>
      </c>
      <c r="E18" s="12">
        <f>'Cash Budget'!Q19</f>
        <v>8950.0625</v>
      </c>
      <c r="F18" s="12">
        <f>'Cash Budget'!R19</f>
        <v>9385.546875</v>
      </c>
    </row>
    <row r="19" spans="1:6" ht="12.75">
      <c r="A19" s="2" t="str">
        <f>'Chart of Accounts'!$D$18</f>
        <v>Travel</v>
      </c>
      <c r="B19" s="12">
        <f>'Cash Budget'!N20</f>
        <v>0</v>
      </c>
      <c r="C19" s="12">
        <f>'Cash Budget'!O20</f>
        <v>0</v>
      </c>
      <c r="D19" s="12">
        <f>'Cash Budget'!P20</f>
        <v>0</v>
      </c>
      <c r="E19" s="12">
        <f>'Cash Budget'!Q20</f>
        <v>2500</v>
      </c>
      <c r="F19" s="12">
        <f>'Cash Budget'!R20</f>
        <v>0</v>
      </c>
    </row>
    <row r="20" spans="1:6" ht="13.5" thickBot="1">
      <c r="A20" s="2" t="str">
        <f>'Chart of Accounts'!$D$20</f>
        <v>Project Expenses</v>
      </c>
      <c r="B20" s="13">
        <f>'Cash Budget'!N21</f>
        <v>10150</v>
      </c>
      <c r="C20" s="13">
        <f>'Cash Budget'!O21</f>
        <v>10120</v>
      </c>
      <c r="D20" s="13">
        <f>'Cash Budget'!P21</f>
        <v>65135</v>
      </c>
      <c r="E20" s="13">
        <f>'Cash Budget'!Q21</f>
        <v>10146.25</v>
      </c>
      <c r="F20" s="13">
        <f>'Cash Budget'!R21</f>
        <v>10354.6875</v>
      </c>
    </row>
    <row r="21" spans="1:6" ht="15">
      <c r="A21" s="4" t="s">
        <v>44</v>
      </c>
      <c r="B21" s="224">
        <f>SUM(B12:B20)</f>
        <v>386849.0449999999</v>
      </c>
      <c r="C21" s="224">
        <f>SUM(C12:C20)</f>
        <v>409585.84837499994</v>
      </c>
      <c r="D21" s="224">
        <f>SUM(D12:D20)</f>
        <v>464160.1995</v>
      </c>
      <c r="E21" s="224">
        <f>SUM(E12:E20)</f>
        <v>415258.60245</v>
      </c>
      <c r="F21" s="224">
        <f>SUM(F12:F20)</f>
        <v>416982.364775</v>
      </c>
    </row>
    <row r="22" spans="3:6" ht="12.75">
      <c r="C22" s="12"/>
      <c r="D22" s="12"/>
      <c r="E22" s="12"/>
      <c r="F22" s="12"/>
    </row>
    <row r="23" spans="1:6" ht="15">
      <c r="A23" s="4" t="s">
        <v>45</v>
      </c>
      <c r="B23" s="223">
        <f>B9-B21</f>
        <v>77358.62172160274</v>
      </c>
      <c r="C23" s="223">
        <f>C9-C21</f>
        <v>61413.02059877291</v>
      </c>
      <c r="D23" s="223">
        <f>D9-D21</f>
        <v>-47357.52636143699</v>
      </c>
      <c r="E23" s="223">
        <f>E9-E21</f>
        <v>-6725.41452232853</v>
      </c>
      <c r="F23" s="223">
        <f>F9-F21</f>
        <v>20579.051086492836</v>
      </c>
    </row>
  </sheetData>
  <sheetProtection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&amp;C&amp;"Verdana,Regular"&amp;16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2:W77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2" customWidth="1"/>
    <col min="2" max="2" width="18.57421875" style="2" customWidth="1"/>
    <col min="3" max="6" width="12.7109375" style="2" customWidth="1"/>
    <col min="7" max="16384" width="9.140625" style="2" customWidth="1"/>
  </cols>
  <sheetData>
    <row r="2" spans="1:6" ht="12.75">
      <c r="A2" s="5"/>
      <c r="B2" s="4">
        <f>'Chart of Accounts'!$E$15</f>
        <v>2001</v>
      </c>
      <c r="C2" s="4">
        <f>'Chart of Accounts'!$E$16</f>
        <v>2002</v>
      </c>
      <c r="D2" s="4">
        <f>'Chart of Accounts'!$E$17</f>
        <v>2003</v>
      </c>
      <c r="E2" s="4">
        <f>'Chart of Accounts'!$E$18</f>
        <v>2004</v>
      </c>
      <c r="F2" s="4">
        <f>'Chart of Accounts'!$E$19</f>
        <v>2005</v>
      </c>
    </row>
    <row r="3" ht="12.75">
      <c r="A3" s="4" t="s">
        <v>41</v>
      </c>
    </row>
    <row r="4" spans="1:6" ht="12.75">
      <c r="A4" s="2" t="str">
        <f>'Chart of Accounts'!$B$3</f>
        <v>Memberships/Contributions</v>
      </c>
      <c r="B4" s="11">
        <f>'Cash Budget'!N5</f>
        <v>127200</v>
      </c>
      <c r="C4" s="11">
        <f>'Cash Budget'!O5</f>
        <v>130950</v>
      </c>
      <c r="D4" s="11">
        <f>'Cash Budget'!P5</f>
        <v>133762.5</v>
      </c>
      <c r="E4" s="11">
        <f>'Cash Budget'!Q5</f>
        <v>135871.875</v>
      </c>
      <c r="F4" s="11">
        <f>'Cash Budget'!R5</f>
        <v>144953.90625</v>
      </c>
    </row>
    <row r="5" spans="1:6" ht="12.75">
      <c r="A5" s="2" t="str">
        <f>'Chart of Accounts'!$B$9</f>
        <v>Major Donors</v>
      </c>
      <c r="B5" s="12">
        <f>'Cash Budget'!N6</f>
        <v>105000</v>
      </c>
      <c r="C5" s="12">
        <f>'Cash Budget'!O6</f>
        <v>80000</v>
      </c>
      <c r="D5" s="12">
        <f>'Cash Budget'!P6</f>
        <v>40000</v>
      </c>
      <c r="E5" s="12">
        <f>'Cash Budget'!Q6</f>
        <v>30000</v>
      </c>
      <c r="F5" s="12">
        <f>'Cash Budget'!R6</f>
        <v>50000</v>
      </c>
    </row>
    <row r="6" spans="1:6" ht="12.75">
      <c r="A6" s="2" t="str">
        <f>'Chart of Accounts'!$B$11</f>
        <v>Workplace Giving</v>
      </c>
      <c r="B6" s="12">
        <f>'Cash Budget'!N7</f>
        <v>3000</v>
      </c>
      <c r="C6" s="12">
        <f>'Cash Budget'!O7</f>
        <v>0</v>
      </c>
      <c r="D6" s="12">
        <f>'Cash Budget'!P7</f>
        <v>0</v>
      </c>
      <c r="E6" s="12">
        <f>'Cash Budget'!Q7</f>
        <v>0</v>
      </c>
      <c r="F6" s="12">
        <f>'Cash Budget'!R7</f>
        <v>0</v>
      </c>
    </row>
    <row r="7" spans="1:6" ht="12.75">
      <c r="A7" s="2" t="str">
        <f>'Chart of Accounts'!$B$13</f>
        <v>Grants</v>
      </c>
      <c r="B7" s="12">
        <f>'Cash Budget'!N8</f>
        <v>138500</v>
      </c>
      <c r="C7" s="12">
        <f>'Cash Budget'!O8</f>
        <v>170000</v>
      </c>
      <c r="D7" s="12">
        <f>'Cash Budget'!P8</f>
        <v>170000</v>
      </c>
      <c r="E7" s="12">
        <f>'Cash Budget'!Q8</f>
        <v>170000</v>
      </c>
      <c r="F7" s="12">
        <f>'Cash Budget'!R8</f>
        <v>170000</v>
      </c>
    </row>
    <row r="8" spans="1:6" ht="13.5" thickBot="1">
      <c r="A8" s="2" t="str">
        <f>'Chart of Accounts'!$B$15</f>
        <v>Other Income</v>
      </c>
      <c r="B8" s="13">
        <f>'Cash Budget'!N9</f>
        <v>90507.66672160268</v>
      </c>
      <c r="C8" s="13">
        <f>'Cash Budget'!O9</f>
        <v>90048.86897377283</v>
      </c>
      <c r="D8" s="13">
        <f>'Cash Budget'!P9</f>
        <v>73040.173138563</v>
      </c>
      <c r="E8" s="13">
        <f>'Cash Budget'!Q9</f>
        <v>72661.3129276715</v>
      </c>
      <c r="F8" s="13">
        <f>'Cash Budget'!R9</f>
        <v>72607.50961149289</v>
      </c>
    </row>
    <row r="9" spans="1:6" ht="15">
      <c r="A9" s="4" t="s">
        <v>42</v>
      </c>
      <c r="B9" s="224">
        <f>SUM(B4:B8)</f>
        <v>464207.66672160267</v>
      </c>
      <c r="C9" s="224">
        <f>SUM(C4:C8)</f>
        <v>470998.86897377286</v>
      </c>
      <c r="D9" s="224">
        <f>SUM(D4:D8)</f>
        <v>416802.673138563</v>
      </c>
      <c r="E9" s="224">
        <f>SUM(E4:E8)</f>
        <v>408533.1879276715</v>
      </c>
      <c r="F9" s="224">
        <f>SUM(F4:F8)</f>
        <v>437561.41586149286</v>
      </c>
    </row>
    <row r="10" spans="3:6" ht="12.75">
      <c r="C10" s="12"/>
      <c r="D10" s="12"/>
      <c r="E10" s="12"/>
      <c r="F10" s="12"/>
    </row>
    <row r="11" spans="1:6" ht="12.75">
      <c r="A11" s="4" t="str">
        <f>'Chart of Accounts'!A1</f>
        <v>Goals</v>
      </c>
      <c r="C11" s="12"/>
      <c r="D11" s="12"/>
      <c r="E11" s="12"/>
      <c r="F11" s="12"/>
    </row>
    <row r="12" spans="1:6" ht="12.75">
      <c r="A12" s="2" t="str">
        <f>'Chart of Accounts'!A2</f>
        <v>Conservation</v>
      </c>
      <c r="B12" s="11">
        <f>'1 Year General Op.  Cap. Budget'!B21</f>
        <v>127293.70879711011</v>
      </c>
      <c r="C12" s="11">
        <f>DSUM(Conservation,'Conservation Projects'!$Q$3,$C$26:$D$29)*12+DSUM(Conservation,'Conservation Projects'!$Q$3,G26:H32)+'Shared &amp; Allocation'!E17*'Staff Expenses'!C62+'Staff Expenses'!I19*(1+'Staff Expenses'!E4)*'Staff Expenses'!C62</f>
        <v>135581.56890472712</v>
      </c>
      <c r="D12" s="11">
        <f>DSUM(Conservation,'Conservation Projects'!$Q$3,$C$26:$D$29)*12+DSUM(Conservation,'Conservation Projects'!$Q$3,G34:H40)+'Shared &amp; Allocation'!G17*'Staff Expenses'!C62+'Staff Expenses'!I19*(1+'Staff Expenses'!E5)*'Staff Expenses'!C62</f>
        <v>138081.81505852545</v>
      </c>
      <c r="E12" s="11">
        <f>DSUM(Conservation,'Conservation Projects'!$Q$3,$C$26:$D$29)*12+DSUM(Conservation,'Conservation Projects'!$Q$3,G42:H48)+'Shared &amp; Allocation'!I17*'Staff Expenses'!C62+'Staff Expenses'!C62*'Staff Expenses'!I19*(1+'Staff Expenses'!E6)</f>
        <v>139345.45112607375</v>
      </c>
      <c r="F12" s="11">
        <f>DSUM(Conservation,'Conservation Projects'!$Q$3,$C$26:$D$29)*12+DSUM(Conservation,'Conservation Projects'!$Q$3,G50:H56)+'Shared &amp; Allocation'!K17*'Staff Expenses'!C62+'Staff Expenses'!C62*'Staff Expenses'!I19*(1+'Staff Expenses'!E7)</f>
        <v>140609.08719362202</v>
      </c>
    </row>
    <row r="13" spans="1:6" ht="12.75">
      <c r="A13" s="2" t="str">
        <f>'Chart of Accounts'!A3</f>
        <v>Outreach</v>
      </c>
      <c r="B13" s="12">
        <f>'1 Year General Op.  Cap. Budget'!C21</f>
        <v>132193.552424131</v>
      </c>
      <c r="C13" s="12">
        <f>DSUM(Outreach,'Outreach Projects'!$O$3,$C$31:$D$35)*12+DSUM(Outreach,'Outreach Projects'!$O$3,J26:K34)+'Shared &amp; Allocation'!E17*'Staff Expenses'!$F$62+'Staff Expenses'!$F$62*'Staff Expenses'!$I$19*(1+'Staff Expenses'!E4)</f>
        <v>141731.49924534056</v>
      </c>
      <c r="D13" s="12">
        <f>DSUM(Outreach,'Outreach Projects'!$O$3,$C$31:$D$35)*12+DSUM(Outreach,'Outreach Projects'!$O$3,J36:K44)+'Shared &amp; Allocation'!G17*'Staff Expenses'!$F$62+'Staff Expenses'!$F$62*'Staff Expenses'!$I$19*(1+'Staff Expenses'!E5)</f>
        <v>144937.3154792168</v>
      </c>
      <c r="E13" s="12">
        <f>DSUM(Outreach,'Outreach Projects'!$O$3,$C$31:$D$35)*12+DSUM(Outreach,'Outreach Projects'!$O$3,J46:K54)+'Shared &amp; Allocation'!I17*'Staff Expenses'!$F$62+'Staff Expenses'!$F$62*'Staff Expenses'!$I$19*(1+'Staff Expenses'!E6)</f>
        <v>148787.53303184308</v>
      </c>
      <c r="F13" s="12">
        <f>DSUM(Outreach,'Outreach Projects'!$O$3,$C$31:$D$35)*12+DSUM(Outreach,'Outreach Projects'!$O$3,J56:K64)+'Shared &amp; Allocation'!K17*'Staff Expenses'!$F$62+'Staff Expenses'!$F$62*'Staff Expenses'!$I$19*(1+'Staff Expenses'!E7)</f>
        <v>147637.75058446935</v>
      </c>
    </row>
    <row r="14" spans="1:6" ht="12.75">
      <c r="A14" s="2" t="str">
        <f>'Chart of Accounts'!A4</f>
        <v>Development</v>
      </c>
      <c r="B14" s="12">
        <f>'1 Year General Op.  Cap. Budget'!D21</f>
        <v>99183.49242282633</v>
      </c>
      <c r="C14" s="12">
        <f>DSUM(Development,'Development Projects'!$O$3,$C$37:$D$42)*12+DSUM(Development,'Development Projects'!$O$3,M26:N36)+'Shared &amp; Allocation'!E17*'Staff Expenses'!$J$62+'Staff Expenses'!$J$62*'Staff Expenses'!$I$19*(1+'Staff Expenses'!E4)+Membership!C9*Membership!C15+Membership!C23*Membership!C29+Membership!C37*Membership!C43</f>
        <v>102678.50855948751</v>
      </c>
      <c r="D14" s="12">
        <f>DSUM(Development,'Development Projects'!$O$3,$C$37:$D$42)*12+DSUM(Development,'Development Projects'!$O$3,M38:N48)+'Shared &amp; Allocation'!G17*'Staff Expenses'!$J$62+'Staff Expenses'!$J$62*'Staff Expenses'!$I$19*(1+'Staff Expenses'!E5)+Membership!D9*Membership!D15+Membership!D23*Membership!D29+Membership!D37*Membership!D43</f>
        <v>107777.8873628311</v>
      </c>
      <c r="E14" s="12">
        <f>DSUM(Development,'Development Projects'!$O$3,$C$37:$D$42)*12+DSUM(Development,'Development Projects'!$O$3,M50:N60)+'Shared &amp; Allocation'!I17*'Staff Expenses'!$J$62+'Staff Expenses'!$J$62*'Staff Expenses'!$I$19*(1+'Staff Expenses'!E6)+Membership!E9*Membership!E15+Membership!E23*Membership!E29+Membership!E37*Membership!E43</f>
        <v>103543.88352242467</v>
      </c>
      <c r="F14" s="12">
        <f>DSUM(Development,'Development Projects'!$O$3,$C$37:$D$42)*12+DSUM(Development,'Development Projects'!$O$3,M62:N72)+'Shared &amp; Allocation'!K17*'Staff Expenses'!$J$62+'Staff Expenses'!$J$62*'Staff Expenses'!$I$19*(1+'Staff Expenses'!E7)+Membership!F9*Membership!F15+Membership!F23*Membership!F29+Membership!F37*Membership!F43</f>
        <v>104935.23905701826</v>
      </c>
    </row>
    <row r="15" spans="1:6" ht="12.75">
      <c r="A15" s="2" t="str">
        <f>'Chart of Accounts'!A5</f>
        <v>Administration</v>
      </c>
      <c r="B15" s="12">
        <f>'1 Year General Op.  Cap. Budget'!E21</f>
        <v>24678.29135593255</v>
      </c>
      <c r="C15" s="12">
        <f>DSUM(Administration,'Administration Projects'!$S$3,$E$26:$F$29)*12+DSUM(Administration,'Administration Projects'!$S$3,P26:Q32)+'Shared &amp; Allocation'!E17*'Staff Expenses'!$O$62+'Staff Expenses'!$O$62*'Staff Expenses'!$I$19*(1+'Staff Expenses'!E4)</f>
        <v>27844.271665444776</v>
      </c>
      <c r="D15" s="12">
        <f>DSUM(Administration,'Administration Projects'!$S$3,$E$26:$F$29)*12+DSUM(Administration,'Administration Projects'!$S$3,P34:Q40)+'Shared &amp; Allocation'!G17*'Staff Expenses'!$O$62+'Staff Expenses'!$O$62*'Staff Expenses'!$I$19*(1+'Staff Expenses'!E5)</f>
        <v>23363.18159942665</v>
      </c>
      <c r="E15" s="12">
        <f>DSUM(Administration,'Administration Projects'!$S$3,$E$26:$F$29)*12+DSUM(Administration,'Administration Projects'!$S$3,P42:Q48)+'Shared &amp; Allocation'!I17*'Staff Expenses'!$O$62+'Staff Expenses'!$O$62*'Staff Expenses'!$I$19*(1+'Staff Expenses'!E6)</f>
        <v>23581.73476965852</v>
      </c>
      <c r="F15" s="12">
        <f>DSUM(Administration,'Administration Projects'!$S$3,$E$26:$F$29)*12+DSUM(Administration,'Administration Projects'!$S$3,P50:Q56)+'Shared &amp; Allocation'!K17*'Staff Expenses'!$O$62+'Staff Expenses'!$O$62*'Staff Expenses'!$I$19*(1+'Staff Expenses'!E7)</f>
        <v>23800.287939890397</v>
      </c>
    </row>
    <row r="16" spans="2:6" ht="12.75">
      <c r="B16" s="12"/>
      <c r="C16" s="12"/>
      <c r="D16" s="12"/>
      <c r="E16" s="12"/>
      <c r="F16" s="12"/>
    </row>
    <row r="17" spans="1:6" ht="12.75">
      <c r="A17" s="4" t="str">
        <f>'Chart of Accounts'!A6</f>
        <v>Capital</v>
      </c>
      <c r="B17" s="12"/>
      <c r="C17" s="12"/>
      <c r="D17" s="12"/>
      <c r="E17" s="12"/>
      <c r="F17" s="12"/>
    </row>
    <row r="18" spans="1:6" ht="12.75">
      <c r="A18" s="2" t="str">
        <f>'Chart of Accounts'!A26</f>
        <v>Waterfall</v>
      </c>
      <c r="B18" s="12">
        <f>'1 Year General Op.  Cap. Budget'!F21</f>
        <v>1500</v>
      </c>
      <c r="C18" s="12">
        <f>DSUM(Capital,'Capital Projects'!$L$3,$E$31:$F$32)*12+DSUM(Capital,'Capital Projects'!$L$3,S26:T28)</f>
        <v>0</v>
      </c>
      <c r="D18" s="12">
        <f>DSUM(Capital,'Capital Projects'!$L$3,$E$31:$F$32)*12+DSUM(Capital,'Capital Projects'!$L$3,S38:T40)</f>
        <v>0</v>
      </c>
      <c r="E18" s="12">
        <f>DSUM(Capital,'Capital Projects'!$L$3,$E$31:$F$32)*12+DSUM(Capital,'Capital Projects'!$L$3,S50:T52)</f>
        <v>0</v>
      </c>
      <c r="F18" s="12">
        <f>DSUM(Capital,'Capital Projects'!$L$3,$E$31:$F$32)*12+DSUM(Capital,'Capital Projects'!$L$3,V26:W28)</f>
        <v>0</v>
      </c>
    </row>
    <row r="19" spans="1:6" ht="12.75">
      <c r="A19" s="2" t="str">
        <f>'Chart of Accounts'!A27</f>
        <v>Lookout</v>
      </c>
      <c r="B19" s="12">
        <f>'1 Year General Op.  Cap. Budget'!G21</f>
        <v>0</v>
      </c>
      <c r="C19" s="12">
        <f>DSUM(Capital,'Capital Projects'!$L$3,$E$34:$F$35)*12+DSUM(Capital,'Capital Projects'!$L$3,S30:T32)</f>
        <v>1750</v>
      </c>
      <c r="D19" s="12">
        <f>DSUM(Capital,'Capital Projects'!$L$3,$E$34:$F$35)*12+DSUM(Capital,'Capital Projects'!$L$3,S42:T44)</f>
        <v>0</v>
      </c>
      <c r="E19" s="12">
        <f>DSUM(Capital,'Capital Projects'!$L$3,$E$34:$F$35)*12+DSUM(Capital,'Capital Projects'!$L$3,S54:T56)</f>
        <v>0</v>
      </c>
      <c r="F19" s="12">
        <f>DSUM(Capital,'Capital Projects'!$L$3,$E$34:$F$35)*12+DSUM(Capital,'Capital Projects'!$L$3,V30:W32)</f>
        <v>0</v>
      </c>
    </row>
    <row r="20" spans="1:6" ht="13.5" thickBot="1">
      <c r="A20" s="2" t="str">
        <f>'Chart of Accounts'!A28</f>
        <v>Bluff</v>
      </c>
      <c r="B20" s="13">
        <f>'1 Year General Op.  Cap. Budget'!H21</f>
        <v>2000</v>
      </c>
      <c r="C20" s="13">
        <f>DSUM(Capital,'Capital Projects'!$L$3,$E$37:$F$38)*12+DSUM(Capital,'Capital Projects'!$L$3,S34:T36)</f>
        <v>0</v>
      </c>
      <c r="D20" s="13">
        <f>DSUM(Capital,'Capital Projects'!$L$3,$E$37:$F$38)*12+DSUM(Capital,'Capital Projects'!$L$3,S46:T48)</f>
        <v>50000</v>
      </c>
      <c r="E20" s="13">
        <f>DSUM(Capital,'Capital Projects'!$L$3,$E$37:$F$38)*12+DSUM(Capital,'Capital Projects'!$L$3,S58:T60)</f>
        <v>0</v>
      </c>
      <c r="F20" s="13">
        <f>DSUM(Capital,'Capital Projects'!$L$3,$E$37:$F$38)*12+DSUM(Capital,'Capital Projects'!$L$3,V34:W36)</f>
        <v>0</v>
      </c>
    </row>
    <row r="21" spans="1:6" ht="15">
      <c r="A21" s="4" t="s">
        <v>44</v>
      </c>
      <c r="B21" s="224">
        <f>SUM(B12:B20)</f>
        <v>386849.045</v>
      </c>
      <c r="C21" s="224">
        <f>SUM(C12:C20)</f>
        <v>409585.848375</v>
      </c>
      <c r="D21" s="224">
        <f>SUM(D12:D20)</f>
        <v>464160.19950000005</v>
      </c>
      <c r="E21" s="224">
        <f>SUM(E12:E20)</f>
        <v>415258.60245000006</v>
      </c>
      <c r="F21" s="224">
        <f>SUM(F12:F20)</f>
        <v>416982.364775</v>
      </c>
    </row>
    <row r="22" spans="3:6" ht="12.75">
      <c r="C22" s="12"/>
      <c r="D22" s="12"/>
      <c r="E22" s="12"/>
      <c r="F22" s="12"/>
    </row>
    <row r="23" spans="1:6" ht="15">
      <c r="A23" s="4" t="s">
        <v>45</v>
      </c>
      <c r="B23" s="223">
        <f>B9-B21</f>
        <v>77358.62172160269</v>
      </c>
      <c r="C23" s="223">
        <f>C9-C21</f>
        <v>61413.020598772855</v>
      </c>
      <c r="D23" s="223">
        <f>D9-D21</f>
        <v>-47357.52636143705</v>
      </c>
      <c r="E23" s="223">
        <f>E9-E21</f>
        <v>-6725.414522328589</v>
      </c>
      <c r="F23" s="223">
        <f>F9-F21</f>
        <v>20579.051086492836</v>
      </c>
    </row>
    <row r="26" spans="3:23" ht="12.75">
      <c r="C26" s="251" t="s">
        <v>153</v>
      </c>
      <c r="D26" s="251" t="s">
        <v>176</v>
      </c>
      <c r="E26" s="251" t="s">
        <v>153</v>
      </c>
      <c r="F26" s="251" t="s">
        <v>176</v>
      </c>
      <c r="G26" s="251" t="s">
        <v>153</v>
      </c>
      <c r="H26" s="251" t="s">
        <v>176</v>
      </c>
      <c r="I26" s="179"/>
      <c r="J26" s="251" t="s">
        <v>153</v>
      </c>
      <c r="K26" s="251" t="s">
        <v>176</v>
      </c>
      <c r="L26" s="179"/>
      <c r="M26" s="219" t="s">
        <v>153</v>
      </c>
      <c r="N26" s="251" t="s">
        <v>176</v>
      </c>
      <c r="O26" s="179"/>
      <c r="P26" s="251" t="s">
        <v>153</v>
      </c>
      <c r="Q26" s="251" t="s">
        <v>176</v>
      </c>
      <c r="R26" s="179"/>
      <c r="S26" s="251" t="s">
        <v>153</v>
      </c>
      <c r="T26" s="251" t="s">
        <v>176</v>
      </c>
      <c r="U26" s="179"/>
      <c r="V26" s="251" t="s">
        <v>153</v>
      </c>
      <c r="W26" s="251" t="s">
        <v>176</v>
      </c>
    </row>
    <row r="27" spans="3:23" ht="12.75">
      <c r="C27" s="219" t="str">
        <f>'Chart of Accounts'!$A$9</f>
        <v>Protection</v>
      </c>
      <c r="D27" s="220" t="s">
        <v>187</v>
      </c>
      <c r="E27" s="219" t="str">
        <f>'Chart of Accounts'!$A$21</f>
        <v>Bd. Dev./ Mgt.</v>
      </c>
      <c r="F27" s="220" t="s">
        <v>187</v>
      </c>
      <c r="G27" s="219" t="str">
        <f>'Chart of Accounts'!$A$9</f>
        <v>Protection</v>
      </c>
      <c r="H27" s="179">
        <f>'Chart of Accounts'!$E$16</f>
        <v>2002</v>
      </c>
      <c r="I27" s="179"/>
      <c r="J27" s="219" t="str">
        <f>'Chart of Accounts'!$A$12</f>
        <v>Landowner</v>
      </c>
      <c r="K27" s="179">
        <f>'Chart of Accounts'!$E$16</f>
        <v>2002</v>
      </c>
      <c r="L27" s="179"/>
      <c r="M27" s="251" t="str">
        <f>'Chart of Accounts'!$A$16</f>
        <v>Major Donors</v>
      </c>
      <c r="N27" s="179">
        <f>'Chart of Accounts'!$E$16</f>
        <v>2002</v>
      </c>
      <c r="O27" s="179"/>
      <c r="P27" s="219" t="str">
        <f>'Chart of Accounts'!$A$21</f>
        <v>Bd. Dev./ Mgt.</v>
      </c>
      <c r="Q27" s="179">
        <f>'Chart of Accounts'!$E$16</f>
        <v>2002</v>
      </c>
      <c r="R27" s="179"/>
      <c r="S27" s="219" t="str">
        <f>'Chart of Accounts'!$A$26</f>
        <v>Waterfall</v>
      </c>
      <c r="T27" s="179">
        <f>'Chart of Accounts'!$E$16</f>
        <v>2002</v>
      </c>
      <c r="U27" s="179"/>
      <c r="V27" s="219" t="str">
        <f>'Chart of Accounts'!$A$26</f>
        <v>Waterfall</v>
      </c>
      <c r="W27" s="179">
        <f>'Chart of Accounts'!$E$19</f>
        <v>2005</v>
      </c>
    </row>
    <row r="28" spans="3:23" ht="12.75">
      <c r="C28" s="219" t="str">
        <f>'Chart of Accounts'!$A$10</f>
        <v>Stewardship</v>
      </c>
      <c r="D28" s="220" t="s">
        <v>187</v>
      </c>
      <c r="E28" s="219" t="str">
        <f>'Chart of Accounts'!$A$22</f>
        <v>Staff Dev.</v>
      </c>
      <c r="F28" s="220" t="s">
        <v>187</v>
      </c>
      <c r="G28" s="219" t="str">
        <f>'Chart of Accounts'!$A$9</f>
        <v>Protection</v>
      </c>
      <c r="H28" s="266" t="s">
        <v>188</v>
      </c>
      <c r="I28" s="179"/>
      <c r="J28" s="219" t="str">
        <f>'Chart of Accounts'!$A$12</f>
        <v>Landowner</v>
      </c>
      <c r="K28" s="266" t="s">
        <v>188</v>
      </c>
      <c r="L28" s="179"/>
      <c r="M28" s="251" t="str">
        <f>'Chart of Accounts'!$A$16</f>
        <v>Major Donors</v>
      </c>
      <c r="N28" s="266" t="s">
        <v>188</v>
      </c>
      <c r="O28" s="179"/>
      <c r="P28" s="219" t="str">
        <f>'Chart of Accounts'!$A$21</f>
        <v>Bd. Dev./ Mgt.</v>
      </c>
      <c r="Q28" s="266" t="s">
        <v>188</v>
      </c>
      <c r="R28" s="179"/>
      <c r="S28" s="219" t="str">
        <f>'Chart of Accounts'!$A$26</f>
        <v>Waterfall</v>
      </c>
      <c r="T28" s="266" t="s">
        <v>188</v>
      </c>
      <c r="U28" s="179"/>
      <c r="V28" s="219" t="str">
        <f>'Chart of Accounts'!$A$26</f>
        <v>Waterfall</v>
      </c>
      <c r="W28" s="266" t="s">
        <v>188</v>
      </c>
    </row>
    <row r="29" spans="3:23" ht="12.75">
      <c r="C29" s="219" t="str">
        <f>'Chart of Accounts'!$A$11</f>
        <v>Monitoring</v>
      </c>
      <c r="D29" s="220" t="s">
        <v>187</v>
      </c>
      <c r="E29" s="219" t="str">
        <f>'Chart of Accounts'!$A$23</f>
        <v>Gen. Admin.</v>
      </c>
      <c r="F29" s="220" t="s">
        <v>187</v>
      </c>
      <c r="G29" s="219" t="str">
        <f>'Chart of Accounts'!$A$10</f>
        <v>Stewardship</v>
      </c>
      <c r="H29" s="179">
        <f>'Chart of Accounts'!$E$16</f>
        <v>2002</v>
      </c>
      <c r="I29" s="179"/>
      <c r="J29" s="251" t="str">
        <f>'Chart of Accounts'!$A$13</f>
        <v>Public</v>
      </c>
      <c r="K29" s="179">
        <f>'Chart of Accounts'!$E$16</f>
        <v>2002</v>
      </c>
      <c r="L29" s="179"/>
      <c r="M29" s="219" t="str">
        <f>'Chart of Accounts'!$A$17</f>
        <v>Membership</v>
      </c>
      <c r="N29" s="179">
        <f>'Chart of Accounts'!$E$16</f>
        <v>2002</v>
      </c>
      <c r="O29" s="179"/>
      <c r="P29" s="219" t="str">
        <f>'Chart of Accounts'!$A$22</f>
        <v>Staff Dev.</v>
      </c>
      <c r="Q29" s="179">
        <f>'Chart of Accounts'!$E$16</f>
        <v>2002</v>
      </c>
      <c r="R29" s="179"/>
      <c r="S29" s="219"/>
      <c r="T29" s="266"/>
      <c r="U29" s="179"/>
      <c r="V29" s="219"/>
      <c r="W29" s="266"/>
    </row>
    <row r="30" spans="3:23" ht="12.75">
      <c r="C30" s="179"/>
      <c r="D30" s="179"/>
      <c r="E30" s="179"/>
      <c r="F30" s="179"/>
      <c r="G30" s="219" t="str">
        <f>'Chart of Accounts'!$A$10</f>
        <v>Stewardship</v>
      </c>
      <c r="H30" s="266" t="s">
        <v>188</v>
      </c>
      <c r="I30" s="179"/>
      <c r="J30" s="251" t="str">
        <f>'Chart of Accounts'!$A$13</f>
        <v>Public</v>
      </c>
      <c r="K30" s="266" t="s">
        <v>188</v>
      </c>
      <c r="L30" s="179"/>
      <c r="M30" s="219" t="str">
        <f>'Chart of Accounts'!$A$17</f>
        <v>Membership</v>
      </c>
      <c r="N30" s="266" t="s">
        <v>188</v>
      </c>
      <c r="O30" s="179"/>
      <c r="P30" s="219" t="str">
        <f>'Chart of Accounts'!$A$22</f>
        <v>Staff Dev.</v>
      </c>
      <c r="Q30" s="266" t="s">
        <v>188</v>
      </c>
      <c r="R30" s="179"/>
      <c r="S30" s="251" t="s">
        <v>153</v>
      </c>
      <c r="T30" s="251" t="s">
        <v>176</v>
      </c>
      <c r="U30" s="179"/>
      <c r="V30" s="251" t="s">
        <v>153</v>
      </c>
      <c r="W30" s="251" t="s">
        <v>176</v>
      </c>
    </row>
    <row r="31" spans="3:23" ht="12.75">
      <c r="C31" s="251" t="s">
        <v>153</v>
      </c>
      <c r="D31" s="251" t="s">
        <v>176</v>
      </c>
      <c r="E31" s="251" t="s">
        <v>153</v>
      </c>
      <c r="F31" s="251" t="s">
        <v>176</v>
      </c>
      <c r="G31" s="219" t="str">
        <f>'Chart of Accounts'!$A$11</f>
        <v>Monitoring</v>
      </c>
      <c r="H31" s="179">
        <f>'Chart of Accounts'!$E$16</f>
        <v>2002</v>
      </c>
      <c r="I31" s="179"/>
      <c r="J31" s="219" t="str">
        <f>'Chart of Accounts'!$A$14</f>
        <v>Networking</v>
      </c>
      <c r="K31" s="179">
        <f>'Chart of Accounts'!$E$16</f>
        <v>2002</v>
      </c>
      <c r="L31" s="179"/>
      <c r="M31" s="251" t="str">
        <f>'Chart of Accounts'!$A$18</f>
        <v>Contributions</v>
      </c>
      <c r="N31" s="179">
        <f>'Chart of Accounts'!$E$16</f>
        <v>2002</v>
      </c>
      <c r="O31" s="179"/>
      <c r="P31" s="219" t="str">
        <f>'Chart of Accounts'!$A$23</f>
        <v>Gen. Admin.</v>
      </c>
      <c r="Q31" s="179">
        <f>'Chart of Accounts'!$E$16</f>
        <v>2002</v>
      </c>
      <c r="R31" s="179"/>
      <c r="S31" s="219" t="str">
        <f>'Chart of Accounts'!$A$27</f>
        <v>Lookout</v>
      </c>
      <c r="T31" s="179">
        <f>'Chart of Accounts'!$E$16</f>
        <v>2002</v>
      </c>
      <c r="U31" s="179"/>
      <c r="V31" s="219" t="str">
        <f>'Chart of Accounts'!$A$27</f>
        <v>Lookout</v>
      </c>
      <c r="W31" s="179">
        <f>'Chart of Accounts'!$E$19</f>
        <v>2005</v>
      </c>
    </row>
    <row r="32" spans="3:23" ht="12.75">
      <c r="C32" s="219" t="str">
        <f>'Chart of Accounts'!$A$12</f>
        <v>Landowner</v>
      </c>
      <c r="D32" s="220" t="s">
        <v>187</v>
      </c>
      <c r="E32" s="219" t="str">
        <f>'Chart of Accounts'!$A$26</f>
        <v>Waterfall</v>
      </c>
      <c r="F32" s="220" t="s">
        <v>187</v>
      </c>
      <c r="G32" s="219" t="str">
        <f>'Chart of Accounts'!$A$11</f>
        <v>Monitoring</v>
      </c>
      <c r="H32" s="266" t="s">
        <v>188</v>
      </c>
      <c r="I32" s="179"/>
      <c r="J32" s="219" t="str">
        <f>'Chart of Accounts'!$A$14</f>
        <v>Networking</v>
      </c>
      <c r="K32" s="266" t="s">
        <v>188</v>
      </c>
      <c r="L32" s="179"/>
      <c r="M32" s="251" t="str">
        <f>'Chart of Accounts'!$A$18</f>
        <v>Contributions</v>
      </c>
      <c r="N32" s="266" t="s">
        <v>188</v>
      </c>
      <c r="O32" s="179"/>
      <c r="P32" s="219" t="str">
        <f>'Chart of Accounts'!$A$23</f>
        <v>Gen. Admin.</v>
      </c>
      <c r="Q32" s="266" t="s">
        <v>188</v>
      </c>
      <c r="R32" s="179"/>
      <c r="S32" s="219" t="str">
        <f>'Chart of Accounts'!$A$27</f>
        <v>Lookout</v>
      </c>
      <c r="T32" s="266" t="s">
        <v>188</v>
      </c>
      <c r="U32" s="179"/>
      <c r="V32" s="219" t="str">
        <f>'Chart of Accounts'!$A$27</f>
        <v>Lookout</v>
      </c>
      <c r="W32" s="266" t="s">
        <v>188</v>
      </c>
    </row>
    <row r="33" spans="3:23" ht="12.75">
      <c r="C33" s="251" t="str">
        <f>'Chart of Accounts'!$A$13</f>
        <v>Public</v>
      </c>
      <c r="D33" s="251" t="s">
        <v>187</v>
      </c>
      <c r="E33" s="219"/>
      <c r="F33" s="220"/>
      <c r="G33" s="179"/>
      <c r="H33" s="179"/>
      <c r="I33" s="179"/>
      <c r="J33" s="251" t="str">
        <f>'Chart of Accounts'!$A$15</f>
        <v>Advocacy</v>
      </c>
      <c r="K33" s="179">
        <f>'Chart of Accounts'!$E$16</f>
        <v>2002</v>
      </c>
      <c r="L33" s="179"/>
      <c r="M33" s="219" t="str">
        <f>'Chart of Accounts'!$A$19</f>
        <v>Grants</v>
      </c>
      <c r="N33" s="179">
        <f>'Chart of Accounts'!$E$16</f>
        <v>2002</v>
      </c>
      <c r="O33" s="179"/>
      <c r="P33" s="179"/>
      <c r="Q33" s="179"/>
      <c r="R33" s="179"/>
      <c r="S33" s="219"/>
      <c r="T33" s="266"/>
      <c r="U33" s="179"/>
      <c r="V33" s="219"/>
      <c r="W33" s="266"/>
    </row>
    <row r="34" spans="3:23" ht="12.75">
      <c r="C34" s="219" t="str">
        <f>'Chart of Accounts'!$A$14</f>
        <v>Networking</v>
      </c>
      <c r="D34" s="220" t="s">
        <v>187</v>
      </c>
      <c r="E34" s="251" t="s">
        <v>153</v>
      </c>
      <c r="F34" s="251" t="s">
        <v>176</v>
      </c>
      <c r="G34" s="251" t="s">
        <v>153</v>
      </c>
      <c r="H34" s="251" t="s">
        <v>176</v>
      </c>
      <c r="I34" s="179"/>
      <c r="J34" s="251" t="str">
        <f>'Chart of Accounts'!$A$15</f>
        <v>Advocacy</v>
      </c>
      <c r="K34" s="266" t="s">
        <v>188</v>
      </c>
      <c r="L34" s="179"/>
      <c r="M34" s="219" t="str">
        <f>'Chart of Accounts'!$A$19</f>
        <v>Grants</v>
      </c>
      <c r="N34" s="266" t="s">
        <v>188</v>
      </c>
      <c r="O34" s="179"/>
      <c r="P34" s="251" t="s">
        <v>153</v>
      </c>
      <c r="Q34" s="251" t="s">
        <v>176</v>
      </c>
      <c r="R34" s="179"/>
      <c r="S34" s="251" t="s">
        <v>153</v>
      </c>
      <c r="T34" s="251" t="s">
        <v>176</v>
      </c>
      <c r="U34" s="179"/>
      <c r="V34" s="251" t="s">
        <v>153</v>
      </c>
      <c r="W34" s="251" t="s">
        <v>176</v>
      </c>
    </row>
    <row r="35" spans="3:23" ht="12.75">
      <c r="C35" s="251" t="str">
        <f>'Chart of Accounts'!$A$15</f>
        <v>Advocacy</v>
      </c>
      <c r="D35" s="251" t="s">
        <v>187</v>
      </c>
      <c r="E35" s="219" t="str">
        <f>'Chart of Accounts'!$A$27</f>
        <v>Lookout</v>
      </c>
      <c r="F35" s="220" t="s">
        <v>187</v>
      </c>
      <c r="G35" s="219" t="str">
        <f>'Chart of Accounts'!$A$9</f>
        <v>Protection</v>
      </c>
      <c r="H35" s="179">
        <f>'Chart of Accounts'!$E$17</f>
        <v>2003</v>
      </c>
      <c r="I35" s="179"/>
      <c r="J35" s="179"/>
      <c r="K35" s="179"/>
      <c r="L35" s="179"/>
      <c r="M35" s="251" t="str">
        <f>'Chart of Accounts'!$A$20</f>
        <v>Misc. Dev.</v>
      </c>
      <c r="N35" s="179">
        <f>'Chart of Accounts'!$E$16</f>
        <v>2002</v>
      </c>
      <c r="O35" s="179"/>
      <c r="P35" s="219" t="str">
        <f>'Chart of Accounts'!$A$21</f>
        <v>Bd. Dev./ Mgt.</v>
      </c>
      <c r="Q35" s="179">
        <f>'Chart of Accounts'!$E$17</f>
        <v>2003</v>
      </c>
      <c r="R35" s="179"/>
      <c r="S35" s="219" t="str">
        <f>'Chart of Accounts'!$A$28</f>
        <v>Bluff</v>
      </c>
      <c r="T35" s="179">
        <f>'Chart of Accounts'!$E$16</f>
        <v>2002</v>
      </c>
      <c r="U35" s="179"/>
      <c r="V35" s="219" t="str">
        <f>'Chart of Accounts'!$A$28</f>
        <v>Bluff</v>
      </c>
      <c r="W35" s="179">
        <f>'Chart of Accounts'!$E$19</f>
        <v>2005</v>
      </c>
    </row>
    <row r="36" spans="3:23" ht="12.75">
      <c r="C36" s="179"/>
      <c r="D36" s="179"/>
      <c r="E36" s="219"/>
      <c r="F36" s="220"/>
      <c r="G36" s="219" t="str">
        <f>'Chart of Accounts'!$A$9</f>
        <v>Protection</v>
      </c>
      <c r="H36" s="266" t="s">
        <v>188</v>
      </c>
      <c r="I36" s="179"/>
      <c r="J36" s="251" t="s">
        <v>153</v>
      </c>
      <c r="K36" s="251" t="s">
        <v>176</v>
      </c>
      <c r="L36" s="179"/>
      <c r="M36" s="251" t="str">
        <f>'Chart of Accounts'!$A$20</f>
        <v>Misc. Dev.</v>
      </c>
      <c r="N36" s="266" t="s">
        <v>188</v>
      </c>
      <c r="O36" s="179"/>
      <c r="P36" s="219" t="str">
        <f>'Chart of Accounts'!$A$21</f>
        <v>Bd. Dev./ Mgt.</v>
      </c>
      <c r="Q36" s="266" t="s">
        <v>188</v>
      </c>
      <c r="R36" s="179"/>
      <c r="S36" s="219" t="str">
        <f>'Chart of Accounts'!$A$28</f>
        <v>Bluff</v>
      </c>
      <c r="T36" s="266" t="s">
        <v>188</v>
      </c>
      <c r="U36" s="179"/>
      <c r="V36" s="219" t="str">
        <f>'Chart of Accounts'!$A$28</f>
        <v>Bluff</v>
      </c>
      <c r="W36" s="266" t="s">
        <v>188</v>
      </c>
    </row>
    <row r="37" spans="3:23" ht="12.75">
      <c r="C37" s="219" t="s">
        <v>153</v>
      </c>
      <c r="D37" s="220" t="s">
        <v>176</v>
      </c>
      <c r="E37" s="251" t="s">
        <v>153</v>
      </c>
      <c r="F37" s="251" t="s">
        <v>176</v>
      </c>
      <c r="G37" s="219" t="str">
        <f>'Chart of Accounts'!$A$10</f>
        <v>Stewardship</v>
      </c>
      <c r="H37" s="179">
        <f>'Chart of Accounts'!$E$17</f>
        <v>2003</v>
      </c>
      <c r="I37" s="179"/>
      <c r="J37" s="219" t="str">
        <f>'Chart of Accounts'!$A$12</f>
        <v>Landowner</v>
      </c>
      <c r="K37" s="179">
        <f>'Chart of Accounts'!$E$17</f>
        <v>2003</v>
      </c>
      <c r="L37" s="179"/>
      <c r="M37" s="179"/>
      <c r="N37" s="179"/>
      <c r="O37" s="179"/>
      <c r="P37" s="219" t="str">
        <f>'Chart of Accounts'!$A$22</f>
        <v>Staff Dev.</v>
      </c>
      <c r="Q37" s="179">
        <f>'Chart of Accounts'!$E$17</f>
        <v>2003</v>
      </c>
      <c r="R37" s="179"/>
      <c r="S37" s="179"/>
      <c r="T37" s="179"/>
      <c r="U37" s="179"/>
      <c r="V37" s="179"/>
      <c r="W37" s="179"/>
    </row>
    <row r="38" spans="3:23" ht="12.75">
      <c r="C38" s="251" t="str">
        <f>'Chart of Accounts'!$A$16</f>
        <v>Major Donors</v>
      </c>
      <c r="D38" s="251" t="s">
        <v>187</v>
      </c>
      <c r="E38" s="219" t="str">
        <f>'Chart of Accounts'!$A$28</f>
        <v>Bluff</v>
      </c>
      <c r="F38" s="220" t="s">
        <v>187</v>
      </c>
      <c r="G38" s="219" t="str">
        <f>'Chart of Accounts'!$A$10</f>
        <v>Stewardship</v>
      </c>
      <c r="H38" s="266" t="s">
        <v>188</v>
      </c>
      <c r="I38" s="179"/>
      <c r="J38" s="219" t="str">
        <f>'Chart of Accounts'!$A$12</f>
        <v>Landowner</v>
      </c>
      <c r="K38" s="266" t="s">
        <v>188</v>
      </c>
      <c r="L38" s="179"/>
      <c r="M38" s="219" t="s">
        <v>153</v>
      </c>
      <c r="N38" s="251" t="s">
        <v>176</v>
      </c>
      <c r="O38" s="179"/>
      <c r="P38" s="219" t="str">
        <f>'Chart of Accounts'!$A$22</f>
        <v>Staff Dev.</v>
      </c>
      <c r="Q38" s="266" t="s">
        <v>188</v>
      </c>
      <c r="R38" s="179"/>
      <c r="S38" s="251" t="s">
        <v>153</v>
      </c>
      <c r="T38" s="251" t="s">
        <v>176</v>
      </c>
      <c r="U38" s="179"/>
      <c r="V38" s="179"/>
      <c r="W38" s="179"/>
    </row>
    <row r="39" spans="3:23" ht="12.75">
      <c r="C39" s="219" t="str">
        <f>'Chart of Accounts'!$A$17</f>
        <v>Membership</v>
      </c>
      <c r="D39" s="220" t="s">
        <v>187</v>
      </c>
      <c r="E39" s="179"/>
      <c r="F39" s="179"/>
      <c r="G39" s="219" t="str">
        <f>'Chart of Accounts'!$A$11</f>
        <v>Monitoring</v>
      </c>
      <c r="H39" s="179">
        <f>'Chart of Accounts'!$E$17</f>
        <v>2003</v>
      </c>
      <c r="I39" s="179"/>
      <c r="J39" s="251" t="str">
        <f>'Chart of Accounts'!$A$13</f>
        <v>Public</v>
      </c>
      <c r="K39" s="179">
        <f>'Chart of Accounts'!$E$17</f>
        <v>2003</v>
      </c>
      <c r="L39" s="179"/>
      <c r="M39" s="251" t="str">
        <f>'Chart of Accounts'!$A$16</f>
        <v>Major Donors</v>
      </c>
      <c r="N39" s="179">
        <f>'Chart of Accounts'!$E$17</f>
        <v>2003</v>
      </c>
      <c r="O39" s="179"/>
      <c r="P39" s="219" t="str">
        <f>'Chart of Accounts'!$A$23</f>
        <v>Gen. Admin.</v>
      </c>
      <c r="Q39" s="179">
        <f>'Chart of Accounts'!$E$17</f>
        <v>2003</v>
      </c>
      <c r="R39" s="179"/>
      <c r="S39" s="219" t="str">
        <f>'Chart of Accounts'!$A$26</f>
        <v>Waterfall</v>
      </c>
      <c r="T39" s="179">
        <f>'Chart of Accounts'!$E$17</f>
        <v>2003</v>
      </c>
      <c r="U39" s="179"/>
      <c r="V39" s="179"/>
      <c r="W39" s="179"/>
    </row>
    <row r="40" spans="3:23" ht="12.75">
      <c r="C40" s="251" t="str">
        <f>'Chart of Accounts'!$A$18</f>
        <v>Contributions</v>
      </c>
      <c r="D40" s="251" t="s">
        <v>187</v>
      </c>
      <c r="E40" s="179"/>
      <c r="F40" s="179"/>
      <c r="G40" s="219" t="str">
        <f>'Chart of Accounts'!$A$11</f>
        <v>Monitoring</v>
      </c>
      <c r="H40" s="266" t="s">
        <v>188</v>
      </c>
      <c r="I40" s="179"/>
      <c r="J40" s="251" t="str">
        <f>'Chart of Accounts'!$A$13</f>
        <v>Public</v>
      </c>
      <c r="K40" s="266" t="s">
        <v>188</v>
      </c>
      <c r="L40" s="179"/>
      <c r="M40" s="251" t="str">
        <f>'Chart of Accounts'!$A$16</f>
        <v>Major Donors</v>
      </c>
      <c r="N40" s="266" t="s">
        <v>188</v>
      </c>
      <c r="O40" s="179"/>
      <c r="P40" s="219" t="str">
        <f>'Chart of Accounts'!$A$23</f>
        <v>Gen. Admin.</v>
      </c>
      <c r="Q40" s="266" t="s">
        <v>188</v>
      </c>
      <c r="R40" s="179"/>
      <c r="S40" s="219" t="str">
        <f>'Chart of Accounts'!$A$26</f>
        <v>Waterfall</v>
      </c>
      <c r="T40" s="266" t="s">
        <v>188</v>
      </c>
      <c r="U40" s="179"/>
      <c r="V40" s="179"/>
      <c r="W40" s="179"/>
    </row>
    <row r="41" spans="3:23" ht="12.75">
      <c r="C41" s="219" t="str">
        <f>'Chart of Accounts'!$A$19</f>
        <v>Grants</v>
      </c>
      <c r="D41" s="220" t="s">
        <v>187</v>
      </c>
      <c r="E41" s="179"/>
      <c r="F41" s="179"/>
      <c r="G41" s="179"/>
      <c r="H41" s="179"/>
      <c r="I41" s="179"/>
      <c r="J41" s="219" t="str">
        <f>'Chart of Accounts'!$A$14</f>
        <v>Networking</v>
      </c>
      <c r="K41" s="179">
        <f>'Chart of Accounts'!$E$17</f>
        <v>2003</v>
      </c>
      <c r="L41" s="179"/>
      <c r="M41" s="219" t="str">
        <f>'Chart of Accounts'!$A$17</f>
        <v>Membership</v>
      </c>
      <c r="N41" s="179">
        <f>'Chart of Accounts'!$E$17</f>
        <v>2003</v>
      </c>
      <c r="O41" s="179"/>
      <c r="P41" s="179"/>
      <c r="Q41" s="179"/>
      <c r="R41" s="179"/>
      <c r="S41" s="219"/>
      <c r="T41" s="266"/>
      <c r="U41" s="179"/>
      <c r="V41" s="179"/>
      <c r="W41" s="179"/>
    </row>
    <row r="42" spans="3:23" ht="12.75">
      <c r="C42" s="251" t="str">
        <f>'Chart of Accounts'!$A$20</f>
        <v>Misc. Dev.</v>
      </c>
      <c r="D42" s="251" t="s">
        <v>187</v>
      </c>
      <c r="E42" s="179"/>
      <c r="F42" s="179"/>
      <c r="G42" s="251" t="s">
        <v>153</v>
      </c>
      <c r="H42" s="251" t="s">
        <v>176</v>
      </c>
      <c r="I42" s="179"/>
      <c r="J42" s="219" t="str">
        <f>'Chart of Accounts'!$A$14</f>
        <v>Networking</v>
      </c>
      <c r="K42" s="266" t="s">
        <v>188</v>
      </c>
      <c r="L42" s="179"/>
      <c r="M42" s="219" t="str">
        <f>'Chart of Accounts'!$A$17</f>
        <v>Membership</v>
      </c>
      <c r="N42" s="266" t="s">
        <v>188</v>
      </c>
      <c r="O42" s="179"/>
      <c r="P42" s="251" t="s">
        <v>153</v>
      </c>
      <c r="Q42" s="251" t="s">
        <v>176</v>
      </c>
      <c r="R42" s="179"/>
      <c r="S42" s="251" t="s">
        <v>153</v>
      </c>
      <c r="T42" s="251" t="s">
        <v>176</v>
      </c>
      <c r="U42" s="179"/>
      <c r="V42" s="179"/>
      <c r="W42" s="179"/>
    </row>
    <row r="43" spans="3:23" ht="12.75">
      <c r="C43" s="179"/>
      <c r="D43" s="179"/>
      <c r="E43" s="179"/>
      <c r="F43" s="179"/>
      <c r="G43" s="219" t="str">
        <f>'Chart of Accounts'!$A$9</f>
        <v>Protection</v>
      </c>
      <c r="H43" s="179">
        <f>'Chart of Accounts'!$E$18</f>
        <v>2004</v>
      </c>
      <c r="I43" s="179"/>
      <c r="J43" s="251" t="str">
        <f>'Chart of Accounts'!$A$15</f>
        <v>Advocacy</v>
      </c>
      <c r="K43" s="179">
        <f>'Chart of Accounts'!$E$17</f>
        <v>2003</v>
      </c>
      <c r="L43" s="179"/>
      <c r="M43" s="251" t="str">
        <f>'Chart of Accounts'!$A$18</f>
        <v>Contributions</v>
      </c>
      <c r="N43" s="179">
        <f>'Chart of Accounts'!$E$17</f>
        <v>2003</v>
      </c>
      <c r="O43" s="179"/>
      <c r="P43" s="219" t="str">
        <f>'Chart of Accounts'!$A$21</f>
        <v>Bd. Dev./ Mgt.</v>
      </c>
      <c r="Q43" s="179">
        <f>'Chart of Accounts'!$E$18</f>
        <v>2004</v>
      </c>
      <c r="R43" s="179"/>
      <c r="S43" s="219" t="str">
        <f>'Chart of Accounts'!$A$27</f>
        <v>Lookout</v>
      </c>
      <c r="T43" s="179">
        <f>'Chart of Accounts'!$E$17</f>
        <v>2003</v>
      </c>
      <c r="U43" s="179"/>
      <c r="V43" s="179"/>
      <c r="W43" s="179"/>
    </row>
    <row r="44" spans="3:23" ht="12.75">
      <c r="C44" s="179"/>
      <c r="D44" s="179"/>
      <c r="E44" s="179"/>
      <c r="F44" s="179"/>
      <c r="G44" s="219" t="str">
        <f>'Chart of Accounts'!$A$9</f>
        <v>Protection</v>
      </c>
      <c r="H44" s="266" t="s">
        <v>188</v>
      </c>
      <c r="I44" s="179"/>
      <c r="J44" s="251" t="str">
        <f>'Chart of Accounts'!$A$15</f>
        <v>Advocacy</v>
      </c>
      <c r="K44" s="266" t="s">
        <v>188</v>
      </c>
      <c r="L44" s="179"/>
      <c r="M44" s="251" t="str">
        <f>'Chart of Accounts'!$A$18</f>
        <v>Contributions</v>
      </c>
      <c r="N44" s="266" t="s">
        <v>188</v>
      </c>
      <c r="O44" s="179"/>
      <c r="P44" s="219" t="str">
        <f>'Chart of Accounts'!$A$21</f>
        <v>Bd. Dev./ Mgt.</v>
      </c>
      <c r="Q44" s="266" t="s">
        <v>188</v>
      </c>
      <c r="R44" s="179"/>
      <c r="S44" s="219" t="str">
        <f>'Chart of Accounts'!$A$27</f>
        <v>Lookout</v>
      </c>
      <c r="T44" s="266" t="s">
        <v>188</v>
      </c>
      <c r="U44" s="179"/>
      <c r="V44" s="179"/>
      <c r="W44" s="179"/>
    </row>
    <row r="45" spans="3:23" ht="12.75">
      <c r="C45" s="179"/>
      <c r="D45" s="179"/>
      <c r="E45" s="179"/>
      <c r="F45" s="179"/>
      <c r="G45" s="219" t="str">
        <f>'Chart of Accounts'!$A$10</f>
        <v>Stewardship</v>
      </c>
      <c r="H45" s="179">
        <f>'Chart of Accounts'!$E$18</f>
        <v>2004</v>
      </c>
      <c r="I45" s="179"/>
      <c r="J45" s="179"/>
      <c r="K45" s="179"/>
      <c r="L45" s="179"/>
      <c r="M45" s="219" t="str">
        <f>'Chart of Accounts'!$A$19</f>
        <v>Grants</v>
      </c>
      <c r="N45" s="179">
        <f>'Chart of Accounts'!$E$17</f>
        <v>2003</v>
      </c>
      <c r="O45" s="179"/>
      <c r="P45" s="219" t="str">
        <f>'Chart of Accounts'!$A$22</f>
        <v>Staff Dev.</v>
      </c>
      <c r="Q45" s="179">
        <f>'Chart of Accounts'!$E$18</f>
        <v>2004</v>
      </c>
      <c r="R45" s="179"/>
      <c r="S45" s="219"/>
      <c r="T45" s="266"/>
      <c r="U45" s="179"/>
      <c r="V45" s="179"/>
      <c r="W45" s="179"/>
    </row>
    <row r="46" spans="3:23" ht="12.75">
      <c r="C46" s="179"/>
      <c r="D46" s="179"/>
      <c r="E46" s="179"/>
      <c r="F46" s="179"/>
      <c r="G46" s="219" t="str">
        <f>'Chart of Accounts'!$A$10</f>
        <v>Stewardship</v>
      </c>
      <c r="H46" s="266" t="s">
        <v>188</v>
      </c>
      <c r="I46" s="179"/>
      <c r="J46" s="251" t="s">
        <v>153</v>
      </c>
      <c r="K46" s="251" t="s">
        <v>176</v>
      </c>
      <c r="L46" s="179"/>
      <c r="M46" s="219" t="str">
        <f>'Chart of Accounts'!$A$19</f>
        <v>Grants</v>
      </c>
      <c r="N46" s="266" t="s">
        <v>188</v>
      </c>
      <c r="O46" s="179"/>
      <c r="P46" s="219" t="str">
        <f>'Chart of Accounts'!$A$22</f>
        <v>Staff Dev.</v>
      </c>
      <c r="Q46" s="266" t="s">
        <v>188</v>
      </c>
      <c r="R46" s="179"/>
      <c r="S46" s="251" t="s">
        <v>153</v>
      </c>
      <c r="T46" s="251" t="s">
        <v>176</v>
      </c>
      <c r="U46" s="179"/>
      <c r="V46" s="179"/>
      <c r="W46" s="179"/>
    </row>
    <row r="47" spans="3:23" ht="12.75">
      <c r="C47" s="179"/>
      <c r="D47" s="179"/>
      <c r="E47" s="179"/>
      <c r="F47" s="179"/>
      <c r="G47" s="219" t="str">
        <f>'Chart of Accounts'!$A$11</f>
        <v>Monitoring</v>
      </c>
      <c r="H47" s="179">
        <f>'Chart of Accounts'!$E$18</f>
        <v>2004</v>
      </c>
      <c r="I47" s="179"/>
      <c r="J47" s="219" t="str">
        <f>'Chart of Accounts'!$A$12</f>
        <v>Landowner</v>
      </c>
      <c r="K47" s="179">
        <f>'Chart of Accounts'!$E$18</f>
        <v>2004</v>
      </c>
      <c r="L47" s="179"/>
      <c r="M47" s="251" t="str">
        <f>'Chart of Accounts'!$A$20</f>
        <v>Misc. Dev.</v>
      </c>
      <c r="N47" s="179">
        <f>'Chart of Accounts'!$E$17</f>
        <v>2003</v>
      </c>
      <c r="O47" s="179"/>
      <c r="P47" s="219" t="str">
        <f>'Chart of Accounts'!$A$23</f>
        <v>Gen. Admin.</v>
      </c>
      <c r="Q47" s="179">
        <f>'Chart of Accounts'!$E$18</f>
        <v>2004</v>
      </c>
      <c r="R47" s="179"/>
      <c r="S47" s="219" t="str">
        <f>'Chart of Accounts'!$A$28</f>
        <v>Bluff</v>
      </c>
      <c r="T47" s="179">
        <f>'Chart of Accounts'!$E$17</f>
        <v>2003</v>
      </c>
      <c r="U47" s="179"/>
      <c r="V47" s="179"/>
      <c r="W47" s="179"/>
    </row>
    <row r="48" spans="3:23" ht="12.75">
      <c r="C48" s="179"/>
      <c r="D48" s="179"/>
      <c r="E48" s="179"/>
      <c r="F48" s="179"/>
      <c r="G48" s="219" t="str">
        <f>'Chart of Accounts'!$A$11</f>
        <v>Monitoring</v>
      </c>
      <c r="H48" s="266" t="s">
        <v>188</v>
      </c>
      <c r="I48" s="179"/>
      <c r="J48" s="219" t="str">
        <f>'Chart of Accounts'!$A$12</f>
        <v>Landowner</v>
      </c>
      <c r="K48" s="266" t="s">
        <v>188</v>
      </c>
      <c r="L48" s="179"/>
      <c r="M48" s="251" t="str">
        <f>'Chart of Accounts'!$A$20</f>
        <v>Misc. Dev.</v>
      </c>
      <c r="N48" s="266" t="s">
        <v>188</v>
      </c>
      <c r="O48" s="179"/>
      <c r="P48" s="219" t="str">
        <f>'Chart of Accounts'!$A$23</f>
        <v>Gen. Admin.</v>
      </c>
      <c r="Q48" s="266" t="s">
        <v>188</v>
      </c>
      <c r="R48" s="179"/>
      <c r="S48" s="219" t="str">
        <f>'Chart of Accounts'!$A$28</f>
        <v>Bluff</v>
      </c>
      <c r="T48" s="266" t="s">
        <v>188</v>
      </c>
      <c r="U48" s="179"/>
      <c r="V48" s="179"/>
      <c r="W48" s="179"/>
    </row>
    <row r="49" spans="3:23" ht="12.75">
      <c r="C49" s="179"/>
      <c r="D49" s="179"/>
      <c r="E49" s="179"/>
      <c r="F49" s="179"/>
      <c r="G49" s="179"/>
      <c r="H49" s="179"/>
      <c r="I49" s="179"/>
      <c r="J49" s="251" t="str">
        <f>'Chart of Accounts'!$A$13</f>
        <v>Public</v>
      </c>
      <c r="K49" s="179">
        <f>'Chart of Accounts'!$E$18</f>
        <v>2004</v>
      </c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</row>
    <row r="50" spans="3:23" ht="12.75">
      <c r="C50" s="179"/>
      <c r="D50" s="179"/>
      <c r="E50" s="179"/>
      <c r="F50" s="179"/>
      <c r="G50" s="251" t="s">
        <v>153</v>
      </c>
      <c r="H50" s="251" t="s">
        <v>176</v>
      </c>
      <c r="I50" s="179"/>
      <c r="J50" s="251" t="str">
        <f>'Chart of Accounts'!$A$13</f>
        <v>Public</v>
      </c>
      <c r="K50" s="266" t="s">
        <v>188</v>
      </c>
      <c r="L50" s="179"/>
      <c r="M50" s="219" t="s">
        <v>153</v>
      </c>
      <c r="N50" s="251" t="s">
        <v>176</v>
      </c>
      <c r="O50" s="179"/>
      <c r="P50" s="251" t="s">
        <v>153</v>
      </c>
      <c r="Q50" s="251" t="s">
        <v>176</v>
      </c>
      <c r="R50" s="179"/>
      <c r="S50" s="251" t="s">
        <v>153</v>
      </c>
      <c r="T50" s="251" t="s">
        <v>176</v>
      </c>
      <c r="U50" s="179"/>
      <c r="V50" s="179"/>
      <c r="W50" s="179"/>
    </row>
    <row r="51" spans="3:23" ht="12.75">
      <c r="C51" s="179"/>
      <c r="D51" s="179"/>
      <c r="E51" s="179"/>
      <c r="F51" s="179"/>
      <c r="G51" s="219" t="str">
        <f>'Chart of Accounts'!$A$9</f>
        <v>Protection</v>
      </c>
      <c r="H51" s="179">
        <f>'Chart of Accounts'!$E$19</f>
        <v>2005</v>
      </c>
      <c r="I51" s="179"/>
      <c r="J51" s="219" t="str">
        <f>'Chart of Accounts'!$A$14</f>
        <v>Networking</v>
      </c>
      <c r="K51" s="179">
        <f>'Chart of Accounts'!$E$18</f>
        <v>2004</v>
      </c>
      <c r="L51" s="179"/>
      <c r="M51" s="251" t="str">
        <f>'Chart of Accounts'!$A$16</f>
        <v>Major Donors</v>
      </c>
      <c r="N51" s="179">
        <f>'Chart of Accounts'!$E$18</f>
        <v>2004</v>
      </c>
      <c r="O51" s="179"/>
      <c r="P51" s="219" t="str">
        <f>'Chart of Accounts'!$A$21</f>
        <v>Bd. Dev./ Mgt.</v>
      </c>
      <c r="Q51" s="179">
        <f>'Chart of Accounts'!$E$19</f>
        <v>2005</v>
      </c>
      <c r="R51" s="179"/>
      <c r="S51" s="219" t="str">
        <f>'Chart of Accounts'!$A$26</f>
        <v>Waterfall</v>
      </c>
      <c r="T51" s="179">
        <f>'Chart of Accounts'!$E$18</f>
        <v>2004</v>
      </c>
      <c r="U51" s="179"/>
      <c r="V51" s="179"/>
      <c r="W51" s="179"/>
    </row>
    <row r="52" spans="3:23" ht="12.75">
      <c r="C52" s="179"/>
      <c r="D52" s="179"/>
      <c r="E52" s="179"/>
      <c r="F52" s="179"/>
      <c r="G52" s="219" t="str">
        <f>'Chart of Accounts'!$A$9</f>
        <v>Protection</v>
      </c>
      <c r="H52" s="266" t="s">
        <v>188</v>
      </c>
      <c r="I52" s="179"/>
      <c r="J52" s="219" t="str">
        <f>'Chart of Accounts'!$A$14</f>
        <v>Networking</v>
      </c>
      <c r="K52" s="266" t="s">
        <v>188</v>
      </c>
      <c r="L52" s="179"/>
      <c r="M52" s="251" t="str">
        <f>'Chart of Accounts'!$A$16</f>
        <v>Major Donors</v>
      </c>
      <c r="N52" s="266" t="s">
        <v>188</v>
      </c>
      <c r="O52" s="179"/>
      <c r="P52" s="219" t="str">
        <f>'Chart of Accounts'!$A$21</f>
        <v>Bd. Dev./ Mgt.</v>
      </c>
      <c r="Q52" s="266" t="s">
        <v>188</v>
      </c>
      <c r="R52" s="179"/>
      <c r="S52" s="219" t="str">
        <f>'Chart of Accounts'!$A$26</f>
        <v>Waterfall</v>
      </c>
      <c r="T52" s="266" t="s">
        <v>188</v>
      </c>
      <c r="U52" s="179"/>
      <c r="V52" s="179"/>
      <c r="W52" s="179"/>
    </row>
    <row r="53" spans="3:23" ht="12.75">
      <c r="C53" s="179"/>
      <c r="D53" s="179"/>
      <c r="E53" s="179"/>
      <c r="F53" s="179"/>
      <c r="G53" s="219" t="str">
        <f>'Chart of Accounts'!$A$10</f>
        <v>Stewardship</v>
      </c>
      <c r="H53" s="179">
        <f>'Chart of Accounts'!$E$19</f>
        <v>2005</v>
      </c>
      <c r="I53" s="179"/>
      <c r="J53" s="251" t="str">
        <f>'Chart of Accounts'!$A$15</f>
        <v>Advocacy</v>
      </c>
      <c r="K53" s="179">
        <f>'Chart of Accounts'!$E$18</f>
        <v>2004</v>
      </c>
      <c r="L53" s="179"/>
      <c r="M53" s="219" t="str">
        <f>'Chart of Accounts'!$A$17</f>
        <v>Membership</v>
      </c>
      <c r="N53" s="179">
        <f>'Chart of Accounts'!$E$18</f>
        <v>2004</v>
      </c>
      <c r="O53" s="179"/>
      <c r="P53" s="219" t="str">
        <f>'Chart of Accounts'!$A$22</f>
        <v>Staff Dev.</v>
      </c>
      <c r="Q53" s="179">
        <f>'Chart of Accounts'!$E$19</f>
        <v>2005</v>
      </c>
      <c r="R53" s="179"/>
      <c r="S53" s="219"/>
      <c r="T53" s="266"/>
      <c r="U53" s="179"/>
      <c r="V53" s="179"/>
      <c r="W53" s="179"/>
    </row>
    <row r="54" spans="3:23" ht="12.75">
      <c r="C54" s="179"/>
      <c r="D54" s="179"/>
      <c r="E54" s="179"/>
      <c r="F54" s="179"/>
      <c r="G54" s="219" t="str">
        <f>'Chart of Accounts'!$A$10</f>
        <v>Stewardship</v>
      </c>
      <c r="H54" s="266" t="s">
        <v>188</v>
      </c>
      <c r="I54" s="179"/>
      <c r="J54" s="251" t="str">
        <f>'Chart of Accounts'!$A$15</f>
        <v>Advocacy</v>
      </c>
      <c r="K54" s="266" t="s">
        <v>188</v>
      </c>
      <c r="L54" s="179"/>
      <c r="M54" s="219" t="str">
        <f>'Chart of Accounts'!$A$17</f>
        <v>Membership</v>
      </c>
      <c r="N54" s="266" t="s">
        <v>188</v>
      </c>
      <c r="O54" s="179"/>
      <c r="P54" s="219" t="str">
        <f>'Chart of Accounts'!$A$22</f>
        <v>Staff Dev.</v>
      </c>
      <c r="Q54" s="266" t="s">
        <v>188</v>
      </c>
      <c r="R54" s="179"/>
      <c r="S54" s="251" t="s">
        <v>153</v>
      </c>
      <c r="T54" s="251" t="s">
        <v>176</v>
      </c>
      <c r="U54" s="179"/>
      <c r="V54" s="179"/>
      <c r="W54" s="179"/>
    </row>
    <row r="55" spans="3:23" ht="12.75">
      <c r="C55" s="179"/>
      <c r="D55" s="179"/>
      <c r="E55" s="179"/>
      <c r="F55" s="179"/>
      <c r="G55" s="219" t="str">
        <f>'Chart of Accounts'!$A$11</f>
        <v>Monitoring</v>
      </c>
      <c r="H55" s="179">
        <f>'Chart of Accounts'!$E$19</f>
        <v>2005</v>
      </c>
      <c r="I55" s="179"/>
      <c r="J55" s="179"/>
      <c r="K55" s="179"/>
      <c r="L55" s="179"/>
      <c r="M55" s="251" t="str">
        <f>'Chart of Accounts'!$A$18</f>
        <v>Contributions</v>
      </c>
      <c r="N55" s="179">
        <f>'Chart of Accounts'!$E$18</f>
        <v>2004</v>
      </c>
      <c r="O55" s="179"/>
      <c r="P55" s="219" t="str">
        <f>'Chart of Accounts'!$A$23</f>
        <v>Gen. Admin.</v>
      </c>
      <c r="Q55" s="179">
        <f>'Chart of Accounts'!$E$19</f>
        <v>2005</v>
      </c>
      <c r="R55" s="179"/>
      <c r="S55" s="219" t="str">
        <f>'Chart of Accounts'!$A$27</f>
        <v>Lookout</v>
      </c>
      <c r="T55" s="179">
        <f>'Chart of Accounts'!$E$18</f>
        <v>2004</v>
      </c>
      <c r="U55" s="179"/>
      <c r="V55" s="179"/>
      <c r="W55" s="179"/>
    </row>
    <row r="56" spans="3:23" ht="12.75">
      <c r="C56" s="179"/>
      <c r="D56" s="179"/>
      <c r="E56" s="179"/>
      <c r="F56" s="179"/>
      <c r="G56" s="219" t="str">
        <f>'Chart of Accounts'!$A$11</f>
        <v>Monitoring</v>
      </c>
      <c r="H56" s="266" t="s">
        <v>188</v>
      </c>
      <c r="I56" s="179"/>
      <c r="J56" s="251" t="s">
        <v>153</v>
      </c>
      <c r="K56" s="251" t="s">
        <v>176</v>
      </c>
      <c r="L56" s="179"/>
      <c r="M56" s="251" t="str">
        <f>'Chart of Accounts'!$A$18</f>
        <v>Contributions</v>
      </c>
      <c r="N56" s="266" t="s">
        <v>188</v>
      </c>
      <c r="O56" s="179"/>
      <c r="P56" s="219" t="str">
        <f>'Chart of Accounts'!$A$23</f>
        <v>Gen. Admin.</v>
      </c>
      <c r="Q56" s="266" t="s">
        <v>188</v>
      </c>
      <c r="R56" s="179"/>
      <c r="S56" s="219" t="str">
        <f>'Chart of Accounts'!$A$27</f>
        <v>Lookout</v>
      </c>
      <c r="T56" s="266" t="s">
        <v>188</v>
      </c>
      <c r="U56" s="179"/>
      <c r="V56" s="179"/>
      <c r="W56" s="179"/>
    </row>
    <row r="57" spans="3:23" ht="12.75">
      <c r="C57" s="179"/>
      <c r="D57" s="179"/>
      <c r="E57" s="179"/>
      <c r="F57" s="179"/>
      <c r="G57" s="179"/>
      <c r="H57" s="179"/>
      <c r="I57" s="179"/>
      <c r="J57" s="219" t="str">
        <f>'Chart of Accounts'!$A$12</f>
        <v>Landowner</v>
      </c>
      <c r="K57" s="179">
        <f>'Chart of Accounts'!$E$19</f>
        <v>2005</v>
      </c>
      <c r="L57" s="179"/>
      <c r="M57" s="219" t="str">
        <f>'Chart of Accounts'!$A$19</f>
        <v>Grants</v>
      </c>
      <c r="N57" s="179">
        <f>'Chart of Accounts'!$E$18</f>
        <v>2004</v>
      </c>
      <c r="O57" s="179"/>
      <c r="P57" s="179"/>
      <c r="Q57" s="179"/>
      <c r="R57" s="179"/>
      <c r="S57" s="219"/>
      <c r="T57" s="266"/>
      <c r="U57" s="179"/>
      <c r="V57" s="179"/>
      <c r="W57" s="179"/>
    </row>
    <row r="58" spans="3:23" ht="12.75">
      <c r="C58" s="179"/>
      <c r="D58" s="179"/>
      <c r="E58" s="179"/>
      <c r="F58" s="179"/>
      <c r="G58" s="179"/>
      <c r="H58" s="179"/>
      <c r="I58" s="179"/>
      <c r="J58" s="219" t="str">
        <f>'Chart of Accounts'!$A$12</f>
        <v>Landowner</v>
      </c>
      <c r="K58" s="266" t="s">
        <v>188</v>
      </c>
      <c r="L58" s="179"/>
      <c r="M58" s="219" t="str">
        <f>'Chart of Accounts'!$A$19</f>
        <v>Grants</v>
      </c>
      <c r="N58" s="266" t="s">
        <v>188</v>
      </c>
      <c r="O58" s="179"/>
      <c r="P58" s="179"/>
      <c r="Q58" s="179"/>
      <c r="R58" s="179"/>
      <c r="S58" s="251" t="s">
        <v>153</v>
      </c>
      <c r="T58" s="251" t="s">
        <v>176</v>
      </c>
      <c r="U58" s="179"/>
      <c r="V58" s="179"/>
      <c r="W58" s="179"/>
    </row>
    <row r="59" spans="3:23" ht="12.75">
      <c r="C59" s="179"/>
      <c r="D59" s="179"/>
      <c r="E59" s="179"/>
      <c r="F59" s="179"/>
      <c r="G59" s="179"/>
      <c r="H59" s="179"/>
      <c r="I59" s="179"/>
      <c r="J59" s="251" t="str">
        <f>'Chart of Accounts'!$A$13</f>
        <v>Public</v>
      </c>
      <c r="K59" s="179">
        <f>'Chart of Accounts'!$E$19</f>
        <v>2005</v>
      </c>
      <c r="L59" s="179"/>
      <c r="M59" s="251" t="str">
        <f>'Chart of Accounts'!$A$20</f>
        <v>Misc. Dev.</v>
      </c>
      <c r="N59" s="179">
        <f>'Chart of Accounts'!$E$18</f>
        <v>2004</v>
      </c>
      <c r="O59" s="179"/>
      <c r="P59" s="179"/>
      <c r="Q59" s="179"/>
      <c r="R59" s="179"/>
      <c r="S59" s="219" t="str">
        <f>'Chart of Accounts'!$A$28</f>
        <v>Bluff</v>
      </c>
      <c r="T59" s="179">
        <f>'Chart of Accounts'!$E$18</f>
        <v>2004</v>
      </c>
      <c r="U59" s="179"/>
      <c r="V59" s="179"/>
      <c r="W59" s="179"/>
    </row>
    <row r="60" spans="3:23" ht="12.75">
      <c r="C60" s="179"/>
      <c r="D60" s="179"/>
      <c r="E60" s="179"/>
      <c r="F60" s="179"/>
      <c r="G60" s="179"/>
      <c r="H60" s="179"/>
      <c r="I60" s="179"/>
      <c r="J60" s="251" t="str">
        <f>'Chart of Accounts'!$A$13</f>
        <v>Public</v>
      </c>
      <c r="K60" s="266" t="s">
        <v>188</v>
      </c>
      <c r="L60" s="179"/>
      <c r="M60" s="251" t="str">
        <f>'Chart of Accounts'!$A$20</f>
        <v>Misc. Dev.</v>
      </c>
      <c r="N60" s="266" t="s">
        <v>188</v>
      </c>
      <c r="O60" s="179"/>
      <c r="P60" s="179"/>
      <c r="Q60" s="179"/>
      <c r="R60" s="179"/>
      <c r="S60" s="219" t="str">
        <f>'Chart of Accounts'!$A$28</f>
        <v>Bluff</v>
      </c>
      <c r="T60" s="266" t="s">
        <v>188</v>
      </c>
      <c r="U60" s="179"/>
      <c r="V60" s="179"/>
      <c r="W60" s="179"/>
    </row>
    <row r="61" spans="3:23" ht="12.75">
      <c r="C61" s="179"/>
      <c r="D61" s="179"/>
      <c r="E61" s="179"/>
      <c r="F61" s="179"/>
      <c r="G61" s="179"/>
      <c r="H61" s="179"/>
      <c r="I61" s="179"/>
      <c r="J61" s="219" t="str">
        <f>'Chart of Accounts'!$A$14</f>
        <v>Networking</v>
      </c>
      <c r="K61" s="179">
        <f>'Chart of Accounts'!$E$19</f>
        <v>2005</v>
      </c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3:23" ht="12.75">
      <c r="C62" s="179"/>
      <c r="D62" s="179"/>
      <c r="E62" s="179"/>
      <c r="F62" s="179"/>
      <c r="G62" s="179"/>
      <c r="H62" s="179"/>
      <c r="I62" s="179"/>
      <c r="J62" s="219" t="str">
        <f>'Chart of Accounts'!$A$14</f>
        <v>Networking</v>
      </c>
      <c r="K62" s="266" t="s">
        <v>188</v>
      </c>
      <c r="L62" s="179"/>
      <c r="M62" s="219" t="s">
        <v>153</v>
      </c>
      <c r="N62" s="251" t="s">
        <v>176</v>
      </c>
      <c r="O62" s="179"/>
      <c r="P62" s="179"/>
      <c r="Q62" s="179"/>
      <c r="R62" s="179"/>
      <c r="S62" s="179"/>
      <c r="T62" s="179"/>
      <c r="U62" s="179"/>
      <c r="V62" s="179"/>
      <c r="W62" s="179"/>
    </row>
    <row r="63" spans="3:23" ht="12.75">
      <c r="C63" s="179"/>
      <c r="D63" s="179"/>
      <c r="E63" s="179"/>
      <c r="F63" s="179"/>
      <c r="G63" s="179"/>
      <c r="H63" s="179"/>
      <c r="I63" s="179"/>
      <c r="J63" s="251" t="str">
        <f>'Chart of Accounts'!$A$15</f>
        <v>Advocacy</v>
      </c>
      <c r="K63" s="179">
        <f>'Chart of Accounts'!$E$19</f>
        <v>2005</v>
      </c>
      <c r="L63" s="179"/>
      <c r="M63" s="251" t="str">
        <f>'Chart of Accounts'!$A$16</f>
        <v>Major Donors</v>
      </c>
      <c r="N63" s="179">
        <f>'Chart of Accounts'!$E$19</f>
        <v>2005</v>
      </c>
      <c r="O63" s="179"/>
      <c r="P63" s="179"/>
      <c r="Q63" s="179"/>
      <c r="R63" s="179"/>
      <c r="S63" s="179"/>
      <c r="T63" s="179"/>
      <c r="U63" s="179"/>
      <c r="V63" s="179"/>
      <c r="W63" s="179"/>
    </row>
    <row r="64" spans="3:23" ht="12.75">
      <c r="C64" s="179"/>
      <c r="D64" s="179"/>
      <c r="E64" s="179"/>
      <c r="F64" s="179"/>
      <c r="G64" s="179"/>
      <c r="H64" s="179"/>
      <c r="I64" s="179"/>
      <c r="J64" s="251" t="str">
        <f>'Chart of Accounts'!$A$15</f>
        <v>Advocacy</v>
      </c>
      <c r="K64" s="266" t="s">
        <v>188</v>
      </c>
      <c r="L64" s="179"/>
      <c r="M64" s="251" t="str">
        <f>'Chart of Accounts'!$A$16</f>
        <v>Major Donors</v>
      </c>
      <c r="N64" s="266" t="s">
        <v>188</v>
      </c>
      <c r="O64" s="179"/>
      <c r="P64" s="179"/>
      <c r="Q64" s="179"/>
      <c r="R64" s="179"/>
      <c r="S64" s="179"/>
      <c r="T64" s="179"/>
      <c r="U64" s="179"/>
      <c r="V64" s="179"/>
      <c r="W64" s="179"/>
    </row>
    <row r="65" spans="3:23" ht="12.75"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219" t="str">
        <f>'Chart of Accounts'!$A$17</f>
        <v>Membership</v>
      </c>
      <c r="N65" s="179">
        <f>'Chart of Accounts'!$E$19</f>
        <v>2005</v>
      </c>
      <c r="O65" s="179"/>
      <c r="P65" s="179"/>
      <c r="Q65" s="179"/>
      <c r="R65" s="179"/>
      <c r="S65" s="179"/>
      <c r="T65" s="179"/>
      <c r="U65" s="179"/>
      <c r="V65" s="179"/>
      <c r="W65" s="179"/>
    </row>
    <row r="66" spans="3:23" ht="12.75"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219" t="str">
        <f>'Chart of Accounts'!$A$17</f>
        <v>Membership</v>
      </c>
      <c r="N66" s="266" t="s">
        <v>188</v>
      </c>
      <c r="O66" s="179"/>
      <c r="P66" s="179"/>
      <c r="Q66" s="179"/>
      <c r="R66" s="179"/>
      <c r="S66" s="179"/>
      <c r="T66" s="179"/>
      <c r="U66" s="179"/>
      <c r="V66" s="179"/>
      <c r="W66" s="179"/>
    </row>
    <row r="67" spans="3:23" ht="12.75"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251" t="str">
        <f>'Chart of Accounts'!$A$18</f>
        <v>Contributions</v>
      </c>
      <c r="N67" s="179">
        <f>'Chart of Accounts'!$E$19</f>
        <v>2005</v>
      </c>
      <c r="O67" s="179"/>
      <c r="P67" s="179"/>
      <c r="Q67" s="179"/>
      <c r="R67" s="179"/>
      <c r="S67" s="179"/>
      <c r="T67" s="179"/>
      <c r="U67" s="179"/>
      <c r="V67" s="179"/>
      <c r="W67" s="179"/>
    </row>
    <row r="68" spans="3:23" ht="12.75"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251" t="str">
        <f>'Chart of Accounts'!$A$18</f>
        <v>Contributions</v>
      </c>
      <c r="N68" s="266" t="s">
        <v>188</v>
      </c>
      <c r="O68" s="179"/>
      <c r="P68" s="179"/>
      <c r="Q68" s="179"/>
      <c r="R68" s="179"/>
      <c r="S68" s="179"/>
      <c r="T68" s="179"/>
      <c r="U68" s="179"/>
      <c r="V68" s="179"/>
      <c r="W68" s="179"/>
    </row>
    <row r="69" spans="3:23" ht="12.75"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219" t="str">
        <f>'Chart of Accounts'!$A$19</f>
        <v>Grants</v>
      </c>
      <c r="N69" s="179">
        <f>'Chart of Accounts'!$E$19</f>
        <v>2005</v>
      </c>
      <c r="O69" s="179"/>
      <c r="P69" s="179"/>
      <c r="Q69" s="179"/>
      <c r="R69" s="179"/>
      <c r="S69" s="179"/>
      <c r="T69" s="179"/>
      <c r="U69" s="179"/>
      <c r="V69" s="179"/>
      <c r="W69" s="179"/>
    </row>
    <row r="70" spans="3:23" ht="12.75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219" t="str">
        <f>'Chart of Accounts'!$A$19</f>
        <v>Grants</v>
      </c>
      <c r="N70" s="266" t="s">
        <v>188</v>
      </c>
      <c r="O70" s="179"/>
      <c r="P70" s="179"/>
      <c r="Q70" s="179"/>
      <c r="R70" s="179"/>
      <c r="S70" s="179"/>
      <c r="T70" s="179"/>
      <c r="U70" s="179"/>
      <c r="V70" s="179"/>
      <c r="W70" s="179"/>
    </row>
    <row r="71" spans="3:23" ht="12.75"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251" t="str">
        <f>'Chart of Accounts'!$A$20</f>
        <v>Misc. Dev.</v>
      </c>
      <c r="N71" s="179">
        <f>'Chart of Accounts'!$E$19</f>
        <v>2005</v>
      </c>
      <c r="O71" s="179"/>
      <c r="P71" s="179"/>
      <c r="Q71" s="179"/>
      <c r="R71" s="179"/>
      <c r="S71" s="179"/>
      <c r="T71" s="179"/>
      <c r="U71" s="179"/>
      <c r="V71" s="179"/>
      <c r="W71" s="179"/>
    </row>
    <row r="72" spans="3:23" ht="12.75"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251" t="str">
        <f>'Chart of Accounts'!$A$20</f>
        <v>Misc. Dev.</v>
      </c>
      <c r="N72" s="266" t="s">
        <v>188</v>
      </c>
      <c r="O72" s="179"/>
      <c r="P72" s="179"/>
      <c r="Q72" s="179"/>
      <c r="R72" s="179"/>
      <c r="S72" s="179"/>
      <c r="T72" s="179"/>
      <c r="U72" s="179"/>
      <c r="V72" s="179"/>
      <c r="W72" s="179"/>
    </row>
    <row r="73" spans="3:23" ht="12.75"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3:23" ht="12.75"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3:23" ht="12.75"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3:23" ht="12.75"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3:23" ht="12.75"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</sheetData>
  <sheetProtection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&amp;C&amp;"Verdana,Regular"&amp;16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N42"/>
  <sheetViews>
    <sheetView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E2" sqref="E2"/>
    </sheetView>
  </sheetViews>
  <sheetFormatPr defaultColWidth="9.140625" defaultRowHeight="12.75"/>
  <cols>
    <col min="1" max="1" width="29.421875" style="2" customWidth="1"/>
    <col min="2" max="2" width="18.57421875" style="2" customWidth="1"/>
    <col min="3" max="4" width="15.7109375" style="2" customWidth="1"/>
    <col min="5" max="5" width="16.8515625" style="2" customWidth="1"/>
    <col min="6" max="7" width="15.7109375" style="2" customWidth="1"/>
    <col min="8" max="8" width="12.7109375" style="2" customWidth="1"/>
    <col min="9" max="9" width="10.57421875" style="2" bestFit="1" customWidth="1"/>
    <col min="10" max="16384" width="9.140625" style="2" customWidth="1"/>
  </cols>
  <sheetData>
    <row r="1" spans="2:8" ht="12.75">
      <c r="B1" s="280" t="s">
        <v>213</v>
      </c>
      <c r="C1" s="280"/>
      <c r="D1" s="280"/>
      <c r="E1" s="280"/>
      <c r="F1" s="280" t="s">
        <v>214</v>
      </c>
      <c r="G1" s="280"/>
      <c r="H1" s="280"/>
    </row>
    <row r="2" spans="1:9" ht="12.75">
      <c r="A2" s="5"/>
      <c r="B2" s="15" t="str">
        <f>'Chart of Accounts'!$A$2</f>
        <v>Conservation</v>
      </c>
      <c r="C2" s="15" t="str">
        <f>'Chart of Accounts'!$A$3</f>
        <v>Outreach</v>
      </c>
      <c r="D2" s="15" t="str">
        <f>'Chart of Accounts'!$A$4</f>
        <v>Development</v>
      </c>
      <c r="E2" s="15" t="str">
        <f>'Chart of Accounts'!$A$5</f>
        <v>Administration</v>
      </c>
      <c r="F2" s="15" t="str">
        <f>'Chart of Accounts'!A26</f>
        <v>Waterfall</v>
      </c>
      <c r="G2" s="15" t="str">
        <f>'Chart of Accounts'!A27</f>
        <v>Lookout</v>
      </c>
      <c r="H2" s="15" t="str">
        <f>'Chart of Accounts'!A28</f>
        <v>Bluff</v>
      </c>
      <c r="I2" s="15" t="s">
        <v>46</v>
      </c>
    </row>
    <row r="3" ht="12.75">
      <c r="A3" s="4" t="s">
        <v>41</v>
      </c>
    </row>
    <row r="4" spans="1:9" ht="12.75">
      <c r="A4" s="2" t="str">
        <f>'Chart of Accounts'!$B$3</f>
        <v>Memberships/Contributions</v>
      </c>
      <c r="B4" s="11">
        <f>SUM('Conservation Program'!E4:E7)</f>
        <v>38160</v>
      </c>
      <c r="C4" s="11">
        <f>SUM('Outreach Program'!F4:F7)</f>
        <v>25440</v>
      </c>
      <c r="D4" s="11">
        <f>SUM('Development Program'!G4:G7)</f>
        <v>63600</v>
      </c>
      <c r="E4" s="11">
        <f>SUM('Administration Program'!E4:E7)</f>
        <v>0</v>
      </c>
      <c r="F4" s="11">
        <f>SUM('Unrestricted Revenue'!S33:S36)+DSUM(Revenue,'Revenue Projects'!$D$2,F25:G26)*12+DSUM(Revenue,'Revenue Projects'!$D$2,H25:I38)</f>
        <v>0</v>
      </c>
      <c r="G4" s="11">
        <f>SUM('Unrestricted Revenue'!T33:T36)+DSUM(Revenue,'Revenue Projects'!$D$2,F28:G29)*12+DSUM(Revenue,'Revenue Projects'!$D$2,J25:K38)</f>
        <v>0</v>
      </c>
      <c r="H4" s="11">
        <f>SUM('Unrestricted Revenue'!U33:U36)+DSUM(Revenue,'Revenue Projects'!$D$2,F31:G32)*12+DSUM(Revenue,'Revenue Projects'!$D$2,L25:M38)</f>
        <v>0</v>
      </c>
      <c r="I4" s="11">
        <f aca="true" t="shared" si="0" ref="I4:I9">SUM(B4:H4)</f>
        <v>127200</v>
      </c>
    </row>
    <row r="5" spans="1:9" ht="12.75">
      <c r="A5" s="2" t="str">
        <f>'Chart of Accounts'!$B$9</f>
        <v>Major Donors</v>
      </c>
      <c r="B5" s="12">
        <f>'Conservation Program'!E8</f>
        <v>71000</v>
      </c>
      <c r="C5" s="12">
        <f>'Outreach Program'!F8</f>
        <v>9000</v>
      </c>
      <c r="D5" s="12">
        <f>'Development Program'!G8</f>
        <v>0</v>
      </c>
      <c r="E5" s="12">
        <f>'Administration Program'!E8</f>
        <v>0</v>
      </c>
      <c r="F5" s="12">
        <f>'Unrestricted Revenue'!S37+DSUM(MajorDonors,'Major Donors'!$D$2,F25:G26)*12+DSUM(MajorDonors,'Major Donors'!$D$2,H25:I38)</f>
        <v>25000</v>
      </c>
      <c r="G5" s="12">
        <f>'Unrestricted Revenue'!T37+DSUM(MajorDonors,'Major Donors'!$D$2,F28:G29)*12+DSUM(MajorDonors,'Major Donors'!$D$2,J25:K38)</f>
        <v>0</v>
      </c>
      <c r="H5" s="12">
        <f>'Unrestricted Revenue'!U37+DSUM(MajorDonors,'Major Donors'!$D$2,F31:G32)*12+DSUM(MajorDonors,'Major Donors'!$D$2,L25:M38)</f>
        <v>0</v>
      </c>
      <c r="I5" s="12">
        <f t="shared" si="0"/>
        <v>105000</v>
      </c>
    </row>
    <row r="6" spans="1:9" ht="12.75">
      <c r="A6" s="2" t="str">
        <f>'Chart of Accounts'!$B$11</f>
        <v>Workplace Giving</v>
      </c>
      <c r="B6" s="12">
        <f>'Conservation Program'!E9</f>
        <v>3000</v>
      </c>
      <c r="C6" s="12">
        <f>'Outreach Program'!F9</f>
        <v>0</v>
      </c>
      <c r="D6" s="12">
        <f>'Development Program'!G9</f>
        <v>0</v>
      </c>
      <c r="E6" s="12">
        <f>'Administration Program'!E9</f>
        <v>0</v>
      </c>
      <c r="F6" s="12">
        <f>'Unrestricted Revenue'!S38+DSUM(Revenue,'Revenue Projects'!$E$2,F25:G26)*12+DSUM(Revenue,'Revenue Projects'!$E$2,H25:I38)</f>
        <v>0</v>
      </c>
      <c r="G6" s="12">
        <f>'Unrestricted Revenue'!T38+DSUM(Revenue,'Revenue Projects'!$E$2,F28:G29)*12+DSUM(Revenue,'Revenue Projects'!$E$2,J25:K38)</f>
        <v>0</v>
      </c>
      <c r="H6" s="12">
        <f>'Unrestricted Revenue'!U38+DSUM(Revenue,'Revenue Projects'!$E$2,F31:G32)*12+DSUM(Revenue,'Revenue Projects'!$E$2,L25:M38)</f>
        <v>0</v>
      </c>
      <c r="I6" s="12">
        <f t="shared" si="0"/>
        <v>3000</v>
      </c>
    </row>
    <row r="7" spans="1:9" ht="12.75">
      <c r="A7" s="2" t="str">
        <f>'Chart of Accounts'!$B$13</f>
        <v>Grants</v>
      </c>
      <c r="B7" s="12">
        <f>'Conservation Program'!E10</f>
        <v>96500</v>
      </c>
      <c r="C7" s="12">
        <f>'Outreach Program'!F10</f>
        <v>30000</v>
      </c>
      <c r="D7" s="12">
        <f>'Development Program'!G10</f>
        <v>0</v>
      </c>
      <c r="E7" s="12">
        <f>'Administration Program'!E10</f>
        <v>0</v>
      </c>
      <c r="F7" s="12">
        <f>'Unrestricted Revenue'!S39+DSUM(Grants,Grants!$E$10,F25:G26)*12+DSUM(Grants,Grants!$E$10,H25:I38)</f>
        <v>12000</v>
      </c>
      <c r="G7" s="12">
        <f>'Unrestricted Revenue'!T39+DSUM(Grants,Grants!$E$10,F28:G29)*12+DSUM(Grants,Grants!$E$10,J25:K38)</f>
        <v>0</v>
      </c>
      <c r="H7" s="12">
        <f>'Unrestricted Revenue'!U39+DSUM(Grants,Grants!$E$10,F31:G32)*12+DSUM(Grants,Grants!$E$10,L25:M38)</f>
        <v>0</v>
      </c>
      <c r="I7" s="12">
        <f t="shared" si="0"/>
        <v>138500</v>
      </c>
    </row>
    <row r="8" spans="1:9" ht="13.5" thickBot="1">
      <c r="A8" s="2" t="str">
        <f>'Chart of Accounts'!$B$15</f>
        <v>Other Income</v>
      </c>
      <c r="B8" s="13">
        <f>'Conservation Program'!E11</f>
        <v>15000</v>
      </c>
      <c r="C8" s="13">
        <f>'Outreach Program'!F11</f>
        <v>1155</v>
      </c>
      <c r="D8" s="13">
        <f>'Development Program'!G11</f>
        <v>71352.66672160267</v>
      </c>
      <c r="E8" s="13">
        <f>'Administration Program'!E11</f>
        <v>3000</v>
      </c>
      <c r="F8" s="13">
        <f>SUM('Unrestricted Revenue'!S29:S32)+'Unrestricted Revenue'!S40+DSUM(Revenue,'Revenue Projects'!$F$2,F25:G26)*12+DSUM(Revenue,'Revenue Projects'!$F$2,H25:I38)</f>
        <v>0</v>
      </c>
      <c r="G8" s="13">
        <f>SUM('Unrestricted Revenue'!T29:T32)+'Unrestricted Revenue'!T40+DSUM(Revenue,'Revenue Projects'!$F$2,F28:G29)*12+DSUM(Revenue,'Revenue Projects'!$F$2,J25:K38)</f>
        <v>0</v>
      </c>
      <c r="H8" s="13">
        <f>SUM('Unrestricted Revenue'!U29:U32)+'Unrestricted Revenue'!U40+DSUM(Revenue,'Revenue Projects'!$F$2,F31:G32)*12+DSUM(Revenue,'Revenue Projects'!$F$2,L25:M38)</f>
        <v>0</v>
      </c>
      <c r="I8" s="13">
        <f t="shared" si="0"/>
        <v>90507.66672160267</v>
      </c>
    </row>
    <row r="9" spans="1:9" ht="15">
      <c r="A9" s="4" t="s">
        <v>42</v>
      </c>
      <c r="B9" s="224">
        <f aca="true" t="shared" si="1" ref="B9:H9">SUM(B4:B8)</f>
        <v>223660</v>
      </c>
      <c r="C9" s="224">
        <f t="shared" si="1"/>
        <v>65595</v>
      </c>
      <c r="D9" s="224">
        <f t="shared" si="1"/>
        <v>134952.66672160267</v>
      </c>
      <c r="E9" s="224">
        <f t="shared" si="1"/>
        <v>3000</v>
      </c>
      <c r="F9" s="224">
        <f t="shared" si="1"/>
        <v>37000</v>
      </c>
      <c r="G9" s="224">
        <f t="shared" si="1"/>
        <v>0</v>
      </c>
      <c r="H9" s="224">
        <f t="shared" si="1"/>
        <v>0</v>
      </c>
      <c r="I9" s="224">
        <f t="shared" si="0"/>
        <v>464207.66672160267</v>
      </c>
    </row>
    <row r="10" spans="3:9" ht="12.75">
      <c r="C10" s="12"/>
      <c r="D10" s="12"/>
      <c r="E10" s="12"/>
      <c r="F10" s="12"/>
      <c r="G10" s="12"/>
      <c r="H10" s="12"/>
      <c r="I10" s="12"/>
    </row>
    <row r="11" spans="1:9" ht="12.75">
      <c r="A11" s="4" t="s">
        <v>43</v>
      </c>
      <c r="C11" s="12"/>
      <c r="D11" s="12"/>
      <c r="E11" s="12"/>
      <c r="F11" s="12"/>
      <c r="G11" s="12"/>
      <c r="H11" s="12"/>
      <c r="I11" s="12"/>
    </row>
    <row r="12" spans="1:9" ht="12.75">
      <c r="A12" s="2" t="str">
        <f>'Chart of Accounts'!$C$3</f>
        <v>Salaries, Taxes, and Benefits</v>
      </c>
      <c r="B12" s="11">
        <f>'Conservation Program'!E20</f>
        <v>115774.00574999998</v>
      </c>
      <c r="C12" s="11">
        <f>'Outreach Program'!F20</f>
        <v>123706.57875</v>
      </c>
      <c r="D12" s="11">
        <f>'Development Program'!G20</f>
        <v>68479.67625</v>
      </c>
      <c r="E12" s="11">
        <f>'Administration Program'!E20</f>
        <v>20873.78425</v>
      </c>
      <c r="F12" s="11"/>
      <c r="G12" s="11"/>
      <c r="H12" s="11"/>
      <c r="I12" s="11">
        <f>SUM(B12:H12)</f>
        <v>328834.04500000004</v>
      </c>
    </row>
    <row r="13" spans="1:9" ht="12.75">
      <c r="A13" s="2" t="str">
        <f>'Chart of Accounts'!$C$10</f>
        <v>Professional Services</v>
      </c>
      <c r="B13" s="12">
        <f>'Conservation Program'!E28</f>
        <v>4500</v>
      </c>
      <c r="C13" s="12">
        <f>'Outreach Program'!F28</f>
        <v>0</v>
      </c>
      <c r="D13" s="12">
        <f>'Development Program'!G28</f>
        <v>8800</v>
      </c>
      <c r="E13" s="12">
        <f>'Administration Program'!E28</f>
        <v>1500</v>
      </c>
      <c r="F13" s="12">
        <f>DSUM(Capital,'Capital Projects'!$D$3,$F$25:$G$26)*12+DSUM(Capital,'Capital Projects'!$D$3,$H$25:$I$38)+DSUM(Capital,'Capital Projects'!$E$3,$F$25:$G$26)*12+DSUM(Capital,'Capital Projects'!$E$3,$H$25:$I$38)+DSUM(Capital,'Capital Projects'!$F$3,$F$25:$G$26)*12+DSUM(Capital,'Capital Projects'!$F$3,$H$25:$I$38)</f>
        <v>1500</v>
      </c>
      <c r="G13" s="12">
        <f>DSUM(Capital,'Capital Projects'!$D$3,$F$28:$G$29)*12+DSUM(Capital,'Capital Projects'!$D$3,$J$25:$K$38)+DSUM(Capital,'Capital Projects'!$E$3,$F$28:$G$29)*12+DSUM(Capital,'Capital Projects'!$E$3,$J$25:$K$38)+DSUM(Capital,'Capital Projects'!$F$3,$F$28:$G$29)*12+DSUM(Capital,'Capital Projects'!$F$3,$J$25:$K$38)</f>
        <v>0</v>
      </c>
      <c r="H13" s="12">
        <f>DSUM(Capital,'Capital Projects'!$D$3,$F$31:$G$32)*12+DSUM(Capital,'Capital Projects'!$D$3,$L$25:$M$38)+DSUM(Capital,'Capital Projects'!$E$3,$F$31:$G$32)*12+DSUM(Capital,'Capital Projects'!$E$3,$L$25:$M$38)+DSUM(Capital,'Capital Projects'!$F$3,$F$31:$G$32)*12+DSUM(Capital,'Capital Projects'!$F$3,$L$25:$M$38)</f>
        <v>2000</v>
      </c>
      <c r="I13" s="12">
        <f aca="true" t="shared" si="2" ref="I13:I21">SUM(B13:H13)</f>
        <v>18300</v>
      </c>
    </row>
    <row r="14" spans="1:9" ht="12.75">
      <c r="A14" s="2" t="str">
        <f>'Chart of Accounts'!$C$18</f>
        <v>Telephone</v>
      </c>
      <c r="B14" s="12">
        <f>'Conservation Program'!E32</f>
        <v>847.1680803863493</v>
      </c>
      <c r="C14" s="12">
        <f>'Outreach Program'!F32</f>
        <v>905.2141210100632</v>
      </c>
      <c r="D14" s="12">
        <f>'Development Program'!G32</f>
        <v>501.09517674861297</v>
      </c>
      <c r="E14" s="12">
        <f>'Administration Program'!E32</f>
        <v>146.52262185497472</v>
      </c>
      <c r="F14" s="12"/>
      <c r="G14" s="12"/>
      <c r="H14" s="12"/>
      <c r="I14" s="12">
        <f t="shared" si="2"/>
        <v>2400</v>
      </c>
    </row>
    <row r="15" spans="1:9" ht="12.75">
      <c r="A15" s="2" t="str">
        <f>'Chart of Accounts'!$C$22</f>
        <v>Occupancy</v>
      </c>
      <c r="B15" s="12">
        <f>'Conservation Program'!E38</f>
        <v>2223.816211014167</v>
      </c>
      <c r="C15" s="12">
        <f>'Outreach Program'!F38</f>
        <v>2626.1870676514154</v>
      </c>
      <c r="D15" s="12">
        <f>'Development Program'!G38</f>
        <v>1815.3748389651091</v>
      </c>
      <c r="E15" s="12">
        <f>'Administration Program'!E38</f>
        <v>634.6218823693087</v>
      </c>
      <c r="F15" s="12"/>
      <c r="G15" s="12"/>
      <c r="H15" s="12"/>
      <c r="I15" s="12">
        <f t="shared" si="2"/>
        <v>7300.000000000001</v>
      </c>
    </row>
    <row r="16" spans="1:9" ht="12.75">
      <c r="A16" s="2" t="str">
        <f>'Chart of Accounts'!$D$3</f>
        <v>Equipment</v>
      </c>
      <c r="B16" s="12">
        <f>'Conservation Program'!E43</f>
        <v>1419.0065346471351</v>
      </c>
      <c r="C16" s="12">
        <f>'Outreach Program'!F43</f>
        <v>1516.233652691856</v>
      </c>
      <c r="D16" s="12">
        <f>'Development Program'!G43</f>
        <v>839.3344210539267</v>
      </c>
      <c r="E16" s="12">
        <f>'Administration Program'!E43</f>
        <v>245.42539160708264</v>
      </c>
      <c r="F16" s="12"/>
      <c r="G16" s="12"/>
      <c r="H16" s="12"/>
      <c r="I16" s="12">
        <f t="shared" si="2"/>
        <v>4020</v>
      </c>
    </row>
    <row r="17" spans="1:9" ht="12.75">
      <c r="A17" s="2" t="str">
        <f>'Chart of Accounts'!$D$8</f>
        <v>General  / Misc.</v>
      </c>
      <c r="B17" s="12">
        <f>'Conservation Program'!E50</f>
        <v>1788.4401507244047</v>
      </c>
      <c r="C17" s="12">
        <f>'Outreach Program'!F50</f>
        <v>2647.2764768938687</v>
      </c>
      <c r="D17" s="12">
        <f>'Development Program'!G50</f>
        <v>1889.5534564036493</v>
      </c>
      <c r="E17" s="12">
        <f>'Administration Program'!E50</f>
        <v>974.7299159780777</v>
      </c>
      <c r="F17" s="12">
        <f>DSUM(Capital,'Capital Projects'!G3,$F$25:$G$26)*12+DSUM(Capital,'Capital Projects'!G3,$H$25:$I$38)+DSUM(Capital,'Capital Projects'!H3,$F$25:$G$26)*12+DSUM(Capital,'Capital Projects'!H3,$H$25:$I$38)+DSUM(Capital,'Capital Projects'!I3,$F$25:$G$26)*12+DSUM(Capital,'Capital Projects'!I3,$H$25:$I$38)</f>
        <v>0</v>
      </c>
      <c r="G17" s="12">
        <f>DSUM(Capital,'Capital Projects'!G3,$F$28:$G$29)*12+DSUM(Capital,'Capital Projects'!G3,$J$25:$K$38)+DSUM(Capital,'Capital Projects'!H3,$F$28:$G$29)*12+DSUM(Capital,'Capital Projects'!H3,$J$25:$K$38)+DSUM(Capital,'Capital Projects'!I3,$F$28:$G$29)*12+DSUM(Capital,'Capital Projects'!I3,$J$25:$K$38)</f>
        <v>0</v>
      </c>
      <c r="H17" s="12">
        <f>DSUM(Capital,'Capital Projects'!G3,$F$31:$G$32)*12+DSUM(Capital,'Capital Projects'!G3,$L$25:$M$38)+DSUM(Capital,'Capital Projects'!H3,$F$31:$G$32)*12+DSUM(Capital,'Capital Projects'!H3,$L$25:$M$38)+DSUM(Capital,'Capital Projects'!I3,$F$31:$G$32)*12+DSUM(Capital,'Capital Projects'!I3,$L$25:$M$38)</f>
        <v>0</v>
      </c>
      <c r="I17" s="12">
        <f t="shared" si="2"/>
        <v>7300</v>
      </c>
    </row>
    <row r="18" spans="1:9" ht="12.75">
      <c r="A18" s="2" t="str">
        <f>'Chart of Accounts'!$D$16</f>
        <v>Postage</v>
      </c>
      <c r="B18" s="12">
        <f>'Conservation Program'!E52</f>
        <v>529.4800502414682</v>
      </c>
      <c r="C18" s="12">
        <f>'Outreach Program'!F52</f>
        <v>565.7588256312895</v>
      </c>
      <c r="D18" s="12">
        <f>'Development Program'!G52</f>
        <v>7283.184485467882</v>
      </c>
      <c r="E18" s="12">
        <f>'Administration Program'!E52</f>
        <v>166.5766386593592</v>
      </c>
      <c r="F18" s="12"/>
      <c r="G18" s="12"/>
      <c r="H18" s="12"/>
      <c r="I18" s="12">
        <f t="shared" si="2"/>
        <v>8544.999999999998</v>
      </c>
    </row>
    <row r="19" spans="1:9" ht="12.75">
      <c r="A19" s="2" t="str">
        <f>'Chart of Accounts'!$D$18</f>
        <v>Travel</v>
      </c>
      <c r="B19" s="12">
        <f>'Conservation Program'!E54</f>
        <v>0</v>
      </c>
      <c r="C19" s="12">
        <f>'Outreach Program'!F54</f>
        <v>0</v>
      </c>
      <c r="D19" s="12">
        <f>'Development Program'!G54</f>
        <v>0</v>
      </c>
      <c r="E19" s="12">
        <f>'Administration Program'!E54</f>
        <v>0</v>
      </c>
      <c r="F19" s="12">
        <f>DSUM(Capital,'Capital Projects'!J3,$F$25:$G$26)*12+DSUM(Capital,'Capital Projects'!J3,$H$25:$I$38)</f>
        <v>0</v>
      </c>
      <c r="G19" s="12">
        <f>DSUM(Capital,'Capital Projects'!J3,$F$28:$G$29)*12+DSUM(Capital,'Capital Projects'!J3,$J$25:$K$38)</f>
        <v>0</v>
      </c>
      <c r="H19" s="12">
        <f>DSUM(Capital,'Capital Projects'!J3,$F$31:$G$32)*12+DSUM(Capital,'Capital Projects'!J3,$L$25:$M$38)</f>
        <v>0</v>
      </c>
      <c r="I19" s="12">
        <f t="shared" si="2"/>
        <v>0</v>
      </c>
    </row>
    <row r="20" spans="1:9" ht="13.5" thickBot="1">
      <c r="A20" s="2" t="str">
        <f>'Chart of Accounts'!$D$20</f>
        <v>Project Expenses</v>
      </c>
      <c r="B20" s="13">
        <f>'Conservation Program'!E60</f>
        <v>211.79202009658732</v>
      </c>
      <c r="C20" s="13">
        <f>'Outreach Program'!F60</f>
        <v>226.30353025251577</v>
      </c>
      <c r="D20" s="13">
        <f>'Development Program'!G60</f>
        <v>9575.273794187151</v>
      </c>
      <c r="E20" s="13">
        <f>'Administration Program'!E60</f>
        <v>136.6306554637437</v>
      </c>
      <c r="F20" s="13">
        <f>DSUM(Capital,'Capital Projects'!K3,$F$25:$G$26)*12+DSUM(Capital,'Capital Projects'!K3,$H$25:$I$38)</f>
        <v>0</v>
      </c>
      <c r="G20" s="13">
        <f>DSUM(Capital,'Capital Projects'!K3,$F$28:$G$29)*12+DSUM(Capital,'Capital Projects'!K3,$J$25:$K$38)</f>
        <v>0</v>
      </c>
      <c r="H20" s="13">
        <f>DSUM(Capital,'Capital Projects'!K3,$F$31:$G$32)*12+DSUM(Capital,'Capital Projects'!K3,$L$25:$M$38)</f>
        <v>0</v>
      </c>
      <c r="I20" s="13">
        <f t="shared" si="2"/>
        <v>10149.999999999996</v>
      </c>
    </row>
    <row r="21" spans="1:9" ht="15">
      <c r="A21" s="4" t="s">
        <v>44</v>
      </c>
      <c r="B21" s="224">
        <f aca="true" t="shared" si="3" ref="B21:H21">SUM(B12:B20)</f>
        <v>127293.70879711011</v>
      </c>
      <c r="C21" s="224">
        <f t="shared" si="3"/>
        <v>132193.552424131</v>
      </c>
      <c r="D21" s="224">
        <f t="shared" si="3"/>
        <v>99183.49242282633</v>
      </c>
      <c r="E21" s="224">
        <f t="shared" si="3"/>
        <v>24678.29135593255</v>
      </c>
      <c r="F21" s="224">
        <f t="shared" si="3"/>
        <v>1500</v>
      </c>
      <c r="G21" s="224">
        <f t="shared" si="3"/>
        <v>0</v>
      </c>
      <c r="H21" s="224">
        <f t="shared" si="3"/>
        <v>2000</v>
      </c>
      <c r="I21" s="224">
        <f t="shared" si="2"/>
        <v>386849.045</v>
      </c>
    </row>
    <row r="22" spans="3:9" ht="12.75">
      <c r="C22" s="12"/>
      <c r="D22" s="12"/>
      <c r="E22" s="12"/>
      <c r="F22" s="12"/>
      <c r="G22" s="12"/>
      <c r="H22" s="12"/>
      <c r="I22" s="12"/>
    </row>
    <row r="23" spans="1:14" ht="15">
      <c r="A23" s="4" t="s">
        <v>45</v>
      </c>
      <c r="B23" s="223">
        <f aca="true" t="shared" si="4" ref="B23:I23">B9-B21</f>
        <v>96366.29120288989</v>
      </c>
      <c r="C23" s="223">
        <f t="shared" si="4"/>
        <v>-66598.55242413099</v>
      </c>
      <c r="D23" s="223">
        <f t="shared" si="4"/>
        <v>35769.17429877634</v>
      </c>
      <c r="E23" s="223">
        <f t="shared" si="4"/>
        <v>-21678.29135593255</v>
      </c>
      <c r="F23" s="223">
        <f t="shared" si="4"/>
        <v>35500</v>
      </c>
      <c r="G23" s="223">
        <f t="shared" si="4"/>
        <v>0</v>
      </c>
      <c r="H23" s="223">
        <f t="shared" si="4"/>
        <v>-2000</v>
      </c>
      <c r="I23" s="223">
        <f t="shared" si="4"/>
        <v>77358.62172160269</v>
      </c>
      <c r="J23" s="11"/>
      <c r="K23" s="11"/>
      <c r="L23" s="11"/>
      <c r="M23" s="11"/>
      <c r="N23" s="11"/>
    </row>
    <row r="24" spans="10:14" ht="12.75">
      <c r="J24" s="12"/>
      <c r="K24" s="12"/>
      <c r="L24" s="12"/>
      <c r="M24" s="12"/>
      <c r="N24" s="12"/>
    </row>
    <row r="25" spans="6:14" ht="12.75">
      <c r="F25" s="251" t="s">
        <v>153</v>
      </c>
      <c r="G25" s="251" t="s">
        <v>176</v>
      </c>
      <c r="H25" s="251" t="s">
        <v>153</v>
      </c>
      <c r="I25" s="251" t="s">
        <v>176</v>
      </c>
      <c r="J25" s="267" t="s">
        <v>153</v>
      </c>
      <c r="K25" s="267" t="s">
        <v>176</v>
      </c>
      <c r="L25" s="267" t="s">
        <v>153</v>
      </c>
      <c r="M25" s="267" t="s">
        <v>176</v>
      </c>
      <c r="N25" s="267"/>
    </row>
    <row r="26" spans="6:14" ht="12.75">
      <c r="F26" s="219" t="str">
        <f>'Chart of Accounts'!$A$26</f>
        <v>Waterfall</v>
      </c>
      <c r="G26" s="220" t="s">
        <v>187</v>
      </c>
      <c r="H26" s="219" t="str">
        <f>'Chart of Accounts'!$A$26</f>
        <v>Waterfall</v>
      </c>
      <c r="I26" s="266">
        <f>'Chart of Accounts'!$E$3</f>
        <v>36892</v>
      </c>
      <c r="J26" s="219" t="str">
        <f>'Chart of Accounts'!$A$27</f>
        <v>Lookout</v>
      </c>
      <c r="K26" s="266">
        <f>'Chart of Accounts'!$E$3</f>
        <v>36892</v>
      </c>
      <c r="L26" s="219" t="str">
        <f>'Chart of Accounts'!$A$28</f>
        <v>Bluff</v>
      </c>
      <c r="M26" s="266">
        <f>'Chart of Accounts'!$E$3</f>
        <v>36892</v>
      </c>
      <c r="N26" s="268"/>
    </row>
    <row r="27" spans="6:14" ht="12.75">
      <c r="F27" s="269"/>
      <c r="G27" s="269"/>
      <c r="H27" s="219" t="str">
        <f>'Chart of Accounts'!$A$26</f>
        <v>Waterfall</v>
      </c>
      <c r="I27" s="266">
        <f>'Chart of Accounts'!$E$4</f>
        <v>36923</v>
      </c>
      <c r="J27" s="219" t="str">
        <f>'Chart of Accounts'!$A$27</f>
        <v>Lookout</v>
      </c>
      <c r="K27" s="266">
        <f>'Chart of Accounts'!$E$4</f>
        <v>36923</v>
      </c>
      <c r="L27" s="219" t="str">
        <f>'Chart of Accounts'!$A$28</f>
        <v>Bluff</v>
      </c>
      <c r="M27" s="266">
        <f>'Chart of Accounts'!$E$4</f>
        <v>36923</v>
      </c>
      <c r="N27" s="268"/>
    </row>
    <row r="28" spans="6:14" ht="15">
      <c r="F28" s="251" t="s">
        <v>153</v>
      </c>
      <c r="G28" s="251" t="s">
        <v>176</v>
      </c>
      <c r="H28" s="219" t="str">
        <f>'Chart of Accounts'!$A$26</f>
        <v>Waterfall</v>
      </c>
      <c r="I28" s="266">
        <f>'Chart of Accounts'!$E$5</f>
        <v>36951</v>
      </c>
      <c r="J28" s="219" t="str">
        <f>'Chart of Accounts'!$A$27</f>
        <v>Lookout</v>
      </c>
      <c r="K28" s="266">
        <f>'Chart of Accounts'!$E$5</f>
        <v>36951</v>
      </c>
      <c r="L28" s="219" t="str">
        <f>'Chart of Accounts'!$A$28</f>
        <v>Bluff</v>
      </c>
      <c r="M28" s="266">
        <f>'Chart of Accounts'!$E$5</f>
        <v>36951</v>
      </c>
      <c r="N28" s="270"/>
    </row>
    <row r="29" spans="6:14" ht="12.75">
      <c r="F29" s="219" t="str">
        <f>'Chart of Accounts'!$A$27</f>
        <v>Lookout</v>
      </c>
      <c r="G29" s="220" t="s">
        <v>187</v>
      </c>
      <c r="H29" s="219" t="str">
        <f>'Chart of Accounts'!$A$26</f>
        <v>Waterfall</v>
      </c>
      <c r="I29" s="266">
        <f>'Chart of Accounts'!$E$6</f>
        <v>36982</v>
      </c>
      <c r="J29" s="219" t="str">
        <f>'Chart of Accounts'!$A$27</f>
        <v>Lookout</v>
      </c>
      <c r="K29" s="266">
        <f>'Chart of Accounts'!$E$6</f>
        <v>36982</v>
      </c>
      <c r="L29" s="219" t="str">
        <f>'Chart of Accounts'!$A$28</f>
        <v>Bluff</v>
      </c>
      <c r="M29" s="266">
        <f>'Chart of Accounts'!$E$6</f>
        <v>36982</v>
      </c>
      <c r="N29" s="268"/>
    </row>
    <row r="30" spans="6:14" ht="12.75">
      <c r="F30" s="269"/>
      <c r="G30" s="269"/>
      <c r="H30" s="219" t="str">
        <f>'Chart of Accounts'!$A$26</f>
        <v>Waterfall</v>
      </c>
      <c r="I30" s="266">
        <f>'Chart of Accounts'!$E$7</f>
        <v>37012</v>
      </c>
      <c r="J30" s="219" t="str">
        <f>'Chart of Accounts'!$A$27</f>
        <v>Lookout</v>
      </c>
      <c r="K30" s="266">
        <f>'Chart of Accounts'!$E$7</f>
        <v>37012</v>
      </c>
      <c r="L30" s="219" t="str">
        <f>'Chart of Accounts'!$A$28</f>
        <v>Bluff</v>
      </c>
      <c r="M30" s="266">
        <f>'Chart of Accounts'!$E$7</f>
        <v>37012</v>
      </c>
      <c r="N30" s="268"/>
    </row>
    <row r="31" spans="6:14" ht="12.75">
      <c r="F31" s="251" t="s">
        <v>153</v>
      </c>
      <c r="G31" s="251" t="s">
        <v>176</v>
      </c>
      <c r="H31" s="219" t="str">
        <f>'Chart of Accounts'!$A$26</f>
        <v>Waterfall</v>
      </c>
      <c r="I31" s="266">
        <f>'Chart of Accounts'!$E$8</f>
        <v>37043</v>
      </c>
      <c r="J31" s="219" t="str">
        <f>'Chart of Accounts'!$A$27</f>
        <v>Lookout</v>
      </c>
      <c r="K31" s="266">
        <f>'Chart of Accounts'!$E$8</f>
        <v>37043</v>
      </c>
      <c r="L31" s="219" t="str">
        <f>'Chart of Accounts'!$A$28</f>
        <v>Bluff</v>
      </c>
      <c r="M31" s="266">
        <f>'Chart of Accounts'!$E$8</f>
        <v>37043</v>
      </c>
      <c r="N31" s="271"/>
    </row>
    <row r="32" spans="6:14" ht="12.75">
      <c r="F32" s="219" t="str">
        <f>'Chart of Accounts'!$A$28</f>
        <v>Bluff</v>
      </c>
      <c r="G32" s="220" t="s">
        <v>187</v>
      </c>
      <c r="H32" s="219" t="str">
        <f>'Chart of Accounts'!$A$26</f>
        <v>Waterfall</v>
      </c>
      <c r="I32" s="266">
        <f>'Chart of Accounts'!$E$9</f>
        <v>37073</v>
      </c>
      <c r="J32" s="219" t="str">
        <f>'Chart of Accounts'!$A$27</f>
        <v>Lookout</v>
      </c>
      <c r="K32" s="266">
        <f>'Chart of Accounts'!$E$9</f>
        <v>37073</v>
      </c>
      <c r="L32" s="219" t="str">
        <f>'Chart of Accounts'!$A$28</f>
        <v>Bluff</v>
      </c>
      <c r="M32" s="266">
        <f>'Chart of Accounts'!$E$9</f>
        <v>37073</v>
      </c>
      <c r="N32" s="268"/>
    </row>
    <row r="33" spans="6:14" ht="12.75">
      <c r="F33" s="269"/>
      <c r="G33" s="269"/>
      <c r="H33" s="219" t="str">
        <f>'Chart of Accounts'!$A$26</f>
        <v>Waterfall</v>
      </c>
      <c r="I33" s="266">
        <f>'Chart of Accounts'!$E$10</f>
        <v>37104</v>
      </c>
      <c r="J33" s="219" t="str">
        <f>'Chart of Accounts'!$A$27</f>
        <v>Lookout</v>
      </c>
      <c r="K33" s="266">
        <f>'Chart of Accounts'!$E$10</f>
        <v>37104</v>
      </c>
      <c r="L33" s="219" t="str">
        <f>'Chart of Accounts'!$A$28</f>
        <v>Bluff</v>
      </c>
      <c r="M33" s="266">
        <f>'Chart of Accounts'!$E$10</f>
        <v>37104</v>
      </c>
      <c r="N33" s="268"/>
    </row>
    <row r="34" spans="6:14" ht="12.75">
      <c r="F34" s="269"/>
      <c r="G34" s="269"/>
      <c r="H34" s="219" t="str">
        <f>'Chart of Accounts'!$A$26</f>
        <v>Waterfall</v>
      </c>
      <c r="I34" s="266">
        <f>'Chart of Accounts'!$E$11</f>
        <v>37135</v>
      </c>
      <c r="J34" s="219" t="str">
        <f>'Chart of Accounts'!$A$27</f>
        <v>Lookout</v>
      </c>
      <c r="K34" s="266">
        <f>'Chart of Accounts'!$E$11</f>
        <v>37135</v>
      </c>
      <c r="L34" s="219" t="str">
        <f>'Chart of Accounts'!$A$28</f>
        <v>Bluff</v>
      </c>
      <c r="M34" s="266">
        <f>'Chart of Accounts'!$E$11</f>
        <v>37135</v>
      </c>
      <c r="N34" s="268"/>
    </row>
    <row r="35" spans="6:14" ht="12.75">
      <c r="F35" s="269"/>
      <c r="G35" s="269"/>
      <c r="H35" s="219" t="str">
        <f>'Chart of Accounts'!$A$26</f>
        <v>Waterfall</v>
      </c>
      <c r="I35" s="266">
        <f>'Chart of Accounts'!$E$12</f>
        <v>37165</v>
      </c>
      <c r="J35" s="219" t="str">
        <f>'Chart of Accounts'!$A$27</f>
        <v>Lookout</v>
      </c>
      <c r="K35" s="266">
        <f>'Chart of Accounts'!$E$12</f>
        <v>37165</v>
      </c>
      <c r="L35" s="219" t="str">
        <f>'Chart of Accounts'!$A$28</f>
        <v>Bluff</v>
      </c>
      <c r="M35" s="266">
        <f>'Chart of Accounts'!$E$12</f>
        <v>37165</v>
      </c>
      <c r="N35" s="268"/>
    </row>
    <row r="36" spans="6:14" ht="12.75">
      <c r="F36" s="269"/>
      <c r="G36" s="269"/>
      <c r="H36" s="219" t="str">
        <f>'Chart of Accounts'!$A$26</f>
        <v>Waterfall</v>
      </c>
      <c r="I36" s="266">
        <f>'Chart of Accounts'!$E$13</f>
        <v>37196</v>
      </c>
      <c r="J36" s="219" t="str">
        <f>'Chart of Accounts'!$A$27</f>
        <v>Lookout</v>
      </c>
      <c r="K36" s="266">
        <f>'Chart of Accounts'!$E$13</f>
        <v>37196</v>
      </c>
      <c r="L36" s="219" t="str">
        <f>'Chart of Accounts'!$A$28</f>
        <v>Bluff</v>
      </c>
      <c r="M36" s="266">
        <f>'Chart of Accounts'!$E$13</f>
        <v>37196</v>
      </c>
      <c r="N36" s="268"/>
    </row>
    <row r="37" spans="6:14" ht="12.75">
      <c r="F37" s="269"/>
      <c r="G37" s="269"/>
      <c r="H37" s="219" t="str">
        <f>'Chart of Accounts'!$A$26</f>
        <v>Waterfall</v>
      </c>
      <c r="I37" s="266">
        <f>'Chart of Accounts'!$E$14</f>
        <v>37226</v>
      </c>
      <c r="J37" s="219" t="str">
        <f>'Chart of Accounts'!$A$27</f>
        <v>Lookout</v>
      </c>
      <c r="K37" s="266">
        <f>'Chart of Accounts'!$E$14</f>
        <v>37226</v>
      </c>
      <c r="L37" s="219" t="str">
        <f>'Chart of Accounts'!$A$28</f>
        <v>Bluff</v>
      </c>
      <c r="M37" s="266">
        <f>'Chart of Accounts'!$E$14</f>
        <v>37226</v>
      </c>
      <c r="N37" s="268"/>
    </row>
    <row r="38" spans="6:14" ht="12.75">
      <c r="F38" s="269"/>
      <c r="G38" s="269"/>
      <c r="H38" s="219" t="str">
        <f>'Chart of Accounts'!$A$26</f>
        <v>Waterfall</v>
      </c>
      <c r="I38" s="266" t="s">
        <v>188</v>
      </c>
      <c r="J38" s="219" t="str">
        <f>'Chart of Accounts'!$A$27</f>
        <v>Lookout</v>
      </c>
      <c r="K38" s="267" t="s">
        <v>188</v>
      </c>
      <c r="L38" s="219" t="str">
        <f>'Chart of Accounts'!$A$28</f>
        <v>Bluff</v>
      </c>
      <c r="M38" s="267" t="s">
        <v>188</v>
      </c>
      <c r="N38" s="267"/>
    </row>
    <row r="39" spans="10:14" ht="12.75">
      <c r="J39" s="116"/>
      <c r="K39" s="116"/>
      <c r="L39" s="116"/>
      <c r="M39" s="116"/>
      <c r="N39" s="116"/>
    </row>
    <row r="40" spans="10:14" ht="15">
      <c r="J40" s="222"/>
      <c r="K40" s="222"/>
      <c r="L40" s="222"/>
      <c r="M40" s="222"/>
      <c r="N40" s="222"/>
    </row>
    <row r="41" spans="11:14" ht="12.75">
      <c r="K41" s="12"/>
      <c r="L41" s="12"/>
      <c r="M41" s="12"/>
      <c r="N41" s="12"/>
    </row>
    <row r="42" spans="10:14" ht="15">
      <c r="J42" s="223"/>
      <c r="K42" s="223"/>
      <c r="L42" s="223"/>
      <c r="M42" s="223"/>
      <c r="N42" s="223"/>
    </row>
  </sheetData>
  <sheetProtection sheet="1" objects="1" scenarios="1"/>
  <mergeCells count="2">
    <mergeCell ref="B1:E1"/>
    <mergeCell ref="F1:H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81" r:id="rId1"/>
  <headerFooter alignWithMargins="0">
    <oddHeader>&amp;C&amp;"Verdana,Regular"&amp;16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50"/>
  <sheetViews>
    <sheetView workbookViewId="0" topLeftCell="A1">
      <pane xSplit="1" ySplit="3" topLeftCell="P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6.7109375" style="2" customWidth="1"/>
    <col min="2" max="13" width="10.7109375" style="2" customWidth="1"/>
    <col min="14" max="15" width="13.421875" style="2" customWidth="1"/>
    <col min="16" max="18" width="12.7109375" style="2" customWidth="1"/>
    <col min="19" max="16384" width="9.140625" style="2" customWidth="1"/>
  </cols>
  <sheetData>
    <row r="1" spans="2:18" s="179" customFormat="1" ht="12.75">
      <c r="B1" s="272" t="s">
        <v>176</v>
      </c>
      <c r="C1" s="272" t="s">
        <v>176</v>
      </c>
      <c r="D1" s="272" t="s">
        <v>176</v>
      </c>
      <c r="E1" s="272" t="s">
        <v>176</v>
      </c>
      <c r="F1" s="272" t="s">
        <v>176</v>
      </c>
      <c r="G1" s="272" t="s">
        <v>176</v>
      </c>
      <c r="H1" s="272" t="s">
        <v>176</v>
      </c>
      <c r="I1" s="272" t="s">
        <v>176</v>
      </c>
      <c r="J1" s="272" t="s">
        <v>176</v>
      </c>
      <c r="K1" s="272" t="s">
        <v>176</v>
      </c>
      <c r="L1" s="272" t="s">
        <v>176</v>
      </c>
      <c r="M1" s="272" t="s">
        <v>176</v>
      </c>
      <c r="O1" s="272" t="s">
        <v>176</v>
      </c>
      <c r="P1" s="272" t="s">
        <v>176</v>
      </c>
      <c r="Q1" s="272" t="s">
        <v>176</v>
      </c>
      <c r="R1" s="272" t="s">
        <v>176</v>
      </c>
    </row>
    <row r="2" spans="2:18" s="179" customFormat="1" ht="12.75">
      <c r="B2" s="272" t="s">
        <v>178</v>
      </c>
      <c r="C2" s="272" t="s">
        <v>178</v>
      </c>
      <c r="D2" s="272" t="s">
        <v>178</v>
      </c>
      <c r="E2" s="272" t="s">
        <v>178</v>
      </c>
      <c r="F2" s="272" t="s">
        <v>178</v>
      </c>
      <c r="G2" s="272" t="s">
        <v>178</v>
      </c>
      <c r="H2" s="272" t="s">
        <v>178</v>
      </c>
      <c r="I2" s="272" t="s">
        <v>178</v>
      </c>
      <c r="J2" s="272" t="s">
        <v>178</v>
      </c>
      <c r="K2" s="272" t="s">
        <v>178</v>
      </c>
      <c r="L2" s="272" t="s">
        <v>178</v>
      </c>
      <c r="M2" s="272" t="s">
        <v>178</v>
      </c>
      <c r="O2" s="272" t="s">
        <v>178</v>
      </c>
      <c r="P2" s="272" t="s">
        <v>178</v>
      </c>
      <c r="Q2" s="272" t="s">
        <v>178</v>
      </c>
      <c r="R2" s="272" t="s">
        <v>178</v>
      </c>
    </row>
    <row r="3" spans="2:18" ht="12.75">
      <c r="B3" s="16">
        <f>'Chart of Accounts'!$E$3</f>
        <v>36892</v>
      </c>
      <c r="C3" s="16">
        <f>'Chart of Accounts'!$E$4</f>
        <v>36923</v>
      </c>
      <c r="D3" s="16">
        <f>'Chart of Accounts'!$E$5</f>
        <v>36951</v>
      </c>
      <c r="E3" s="16">
        <f>'Chart of Accounts'!$E$6</f>
        <v>36982</v>
      </c>
      <c r="F3" s="16">
        <f>'Chart of Accounts'!$E$7</f>
        <v>37012</v>
      </c>
      <c r="G3" s="16">
        <f>'Chart of Accounts'!$E$8</f>
        <v>37043</v>
      </c>
      <c r="H3" s="16">
        <f>'Chart of Accounts'!$E$9</f>
        <v>37073</v>
      </c>
      <c r="I3" s="16">
        <f>'Chart of Accounts'!$E$10</f>
        <v>37104</v>
      </c>
      <c r="J3" s="16">
        <f>'Chart of Accounts'!$E$11</f>
        <v>37135</v>
      </c>
      <c r="K3" s="16">
        <f>'Chart of Accounts'!$E$12</f>
        <v>37165</v>
      </c>
      <c r="L3" s="16">
        <f>'Chart of Accounts'!$E$13</f>
        <v>37196</v>
      </c>
      <c r="M3" s="16">
        <f>'Chart of Accounts'!$E$14</f>
        <v>37226</v>
      </c>
      <c r="N3" s="17" t="s">
        <v>46</v>
      </c>
      <c r="O3" s="5">
        <f>'Chart of Accounts'!$E$16</f>
        <v>2002</v>
      </c>
      <c r="P3" s="5">
        <f>'Chart of Accounts'!$E$17</f>
        <v>2003</v>
      </c>
      <c r="Q3" s="5">
        <f>'Chart of Accounts'!$E$18</f>
        <v>2004</v>
      </c>
      <c r="R3" s="5">
        <f>'Chart of Accounts'!$E$19</f>
        <v>2005</v>
      </c>
    </row>
    <row r="4" ht="12.75">
      <c r="A4" s="4" t="s">
        <v>41</v>
      </c>
    </row>
    <row r="5" spans="1:18" ht="12.75">
      <c r="A5" s="2" t="str">
        <f>'Chart of Accounts'!$B$3</f>
        <v>Memberships/Contributions</v>
      </c>
      <c r="B5" s="11">
        <f>DSUM(Membership,Membership!$C$49,B1:B3)+DSUM(Revenue,'Revenue Projects'!$D$2,B1:B3)</f>
        <v>8100</v>
      </c>
      <c r="C5" s="11">
        <f>DSUM(Membership,Membership!$C$49,C1:C3)+DSUM(Revenue,'Revenue Projects'!$D$2,C1:C3)</f>
        <v>75600</v>
      </c>
      <c r="D5" s="11">
        <f>DSUM(Membership,Membership!$C$49,D1:D3)+DSUM(Revenue,'Revenue Projects'!$D$2,D1:D3)</f>
        <v>600</v>
      </c>
      <c r="E5" s="11">
        <f>DSUM(Membership,Membership!$C$49,E1:E3)+DSUM(Revenue,'Revenue Projects'!$D$2,E1:E3)</f>
        <v>600</v>
      </c>
      <c r="F5" s="11">
        <f>DSUM(Membership,Membership!$C$49,F1:F3)+DSUM(Revenue,'Revenue Projects'!$D$2,F1:F3)</f>
        <v>10600</v>
      </c>
      <c r="G5" s="11">
        <f>DSUM(Membership,Membership!$C$49,G1:G3)+DSUM(Revenue,'Revenue Projects'!$D$2,G1:G3)</f>
        <v>600</v>
      </c>
      <c r="H5" s="11">
        <f>DSUM(Membership,Membership!$C$49,H1:H3)+DSUM(Revenue,'Revenue Projects'!$D$2,H1:H3)</f>
        <v>10600</v>
      </c>
      <c r="I5" s="11">
        <f>DSUM(Membership,Membership!$C$49,I1:I3)+DSUM(Revenue,'Revenue Projects'!$D$2,I1:I3)</f>
        <v>600</v>
      </c>
      <c r="J5" s="11">
        <f>DSUM(Membership,Membership!$C$49,J1:J3)+DSUM(Revenue,'Revenue Projects'!$D$2,J1:J3)</f>
        <v>8100</v>
      </c>
      <c r="K5" s="11">
        <f>DSUM(Membership,Membership!$C$49,K1:K3)+DSUM(Revenue,'Revenue Projects'!$D$2,K1:K3)</f>
        <v>600</v>
      </c>
      <c r="L5" s="11">
        <f>DSUM(Membership,Membership!$C$49,L1:L3)+DSUM(Revenue,'Revenue Projects'!$D$2,L1:L3)</f>
        <v>600</v>
      </c>
      <c r="M5" s="11">
        <f>DSUM(Membership,Membership!$C$49,M1:M3)+DSUM(Revenue,'Revenue Projects'!$D$2,M1:M3)</f>
        <v>10600</v>
      </c>
      <c r="N5" s="11">
        <f>SUM(B5:M5)</f>
        <v>127200</v>
      </c>
      <c r="O5" s="11">
        <f>Membership!C13*Membership!C15+Membership!C27*Membership!C29+Membership!C41*Membership!C43+DSUM(Revenue,'Revenue Projects'!$D$2,$P$32:$P$33)*12+DSUM(Revenue,'Revenue Projects'!$D$2,O32:O34)</f>
        <v>130950</v>
      </c>
      <c r="P5" s="11">
        <f>Membership!D13*Membership!D15+Membership!D27*Membership!D29+Membership!D41*Membership!D43+DSUM(Revenue,'Revenue Projects'!$D$2,$P$32:$P$33)*12+DSUM(Revenue,'Revenue Projects'!$D$2,O36:O38)</f>
        <v>133762.5</v>
      </c>
      <c r="Q5" s="11">
        <f>Membership!E13*Membership!E15+Membership!E27*Membership!E29+Membership!E41*Membership!E43+DSUM(Revenue,'Revenue Projects'!$D$2,$P$32:$P$33)*12+DSUM(Revenue,'Revenue Projects'!$D$2,O40:O42)</f>
        <v>135871.875</v>
      </c>
      <c r="R5" s="11">
        <f>Membership!F13*Membership!F15+Membership!F27*Membership!F29+Membership!F41*Membership!F43+DSUM(Revenue,'Revenue Projects'!$D$2,$P$32:$P$33)*12+DSUM(Revenue,'Revenue Projects'!$D$2,O44:O46)</f>
        <v>144953.90625</v>
      </c>
    </row>
    <row r="6" spans="1:18" ht="12.75">
      <c r="A6" s="2" t="str">
        <f>'Chart of Accounts'!$B$9</f>
        <v>Major Donors</v>
      </c>
      <c r="B6" s="12">
        <f>DSUM(MajorDonors,'Major Donors'!$D$2,B1:B3)</f>
        <v>50000</v>
      </c>
      <c r="C6" s="12">
        <f>DSUM(MajorDonors,'Major Donors'!$D$2,C1:C3)</f>
        <v>0</v>
      </c>
      <c r="D6" s="12">
        <f>DSUM(MajorDonors,'Major Donors'!$D$2,D1:D3)</f>
        <v>0</v>
      </c>
      <c r="E6" s="12">
        <f>DSUM(MajorDonors,'Major Donors'!$D$2,E1:E3)</f>
        <v>0</v>
      </c>
      <c r="F6" s="12">
        <f>DSUM(MajorDonors,'Major Donors'!$D$2,F1:F3)</f>
        <v>0</v>
      </c>
      <c r="G6" s="12">
        <f>DSUM(MajorDonors,'Major Donors'!$D$2,G1:G3)</f>
        <v>55000</v>
      </c>
      <c r="H6" s="12">
        <f>DSUM(MajorDonors,'Major Donors'!$D$2,H1:H3)</f>
        <v>0</v>
      </c>
      <c r="I6" s="12">
        <f>DSUM(MajorDonors,'Major Donors'!$D$2,I1:I3)</f>
        <v>0</v>
      </c>
      <c r="J6" s="12">
        <f>DSUM(MajorDonors,'Major Donors'!$D$2,J1:J3)</f>
        <v>0</v>
      </c>
      <c r="K6" s="12">
        <f>DSUM(MajorDonors,'Major Donors'!$D$2,K1:K3)</f>
        <v>0</v>
      </c>
      <c r="L6" s="12">
        <f>DSUM(MajorDonors,'Major Donors'!$D$2,L1:L3)</f>
        <v>0</v>
      </c>
      <c r="M6" s="12">
        <f>DSUM(MajorDonors,'Major Donors'!$D$2,M1:M3)</f>
        <v>0</v>
      </c>
      <c r="N6" s="12">
        <f>SUM(B6:M6)</f>
        <v>105000</v>
      </c>
      <c r="O6" s="12">
        <f>'Major Donors'!H26</f>
        <v>80000</v>
      </c>
      <c r="P6" s="12">
        <f>'Major Donors'!I26</f>
        <v>40000</v>
      </c>
      <c r="Q6" s="12">
        <f>'Major Donors'!J26</f>
        <v>30000</v>
      </c>
      <c r="R6" s="12">
        <f>'Major Donors'!K26</f>
        <v>50000</v>
      </c>
    </row>
    <row r="7" spans="1:18" ht="12.75">
      <c r="A7" s="2" t="str">
        <f>'Chart of Accounts'!$B$11</f>
        <v>Workplace Giving</v>
      </c>
      <c r="B7" s="12">
        <f>DSUM(Revenue,'Revenue Projects'!$E$2,B1:B3)</f>
        <v>0</v>
      </c>
      <c r="C7" s="12">
        <f>DSUM(Revenue,'Revenue Projects'!$E$2,C1:C3)</f>
        <v>0</v>
      </c>
      <c r="D7" s="12">
        <f>DSUM(Revenue,'Revenue Projects'!$E$2,D1:D3)</f>
        <v>0</v>
      </c>
      <c r="E7" s="12">
        <f>DSUM(Revenue,'Revenue Projects'!$E$2,E1:E3)</f>
        <v>0</v>
      </c>
      <c r="F7" s="12">
        <f>DSUM(Revenue,'Revenue Projects'!$E$2,F1:F3)</f>
        <v>0</v>
      </c>
      <c r="G7" s="12">
        <f>DSUM(Revenue,'Revenue Projects'!$E$2,G1:G3)</f>
        <v>0</v>
      </c>
      <c r="H7" s="12">
        <f>DSUM(Revenue,'Revenue Projects'!$E$2,H1:H3)</f>
        <v>0</v>
      </c>
      <c r="I7" s="12">
        <f>DSUM(Revenue,'Revenue Projects'!$E$2,I1:I3)</f>
        <v>3000</v>
      </c>
      <c r="J7" s="12">
        <f>DSUM(Revenue,'Revenue Projects'!$E$2,J1:J3)</f>
        <v>0</v>
      </c>
      <c r="K7" s="12">
        <f>DSUM(Revenue,'Revenue Projects'!$E$2,K1:K3)</f>
        <v>0</v>
      </c>
      <c r="L7" s="12">
        <f>DSUM(Revenue,'Revenue Projects'!$E$2,L1:L3)</f>
        <v>0</v>
      </c>
      <c r="M7" s="12">
        <f>DSUM(Revenue,'Revenue Projects'!$E$2,M1:M3)</f>
        <v>0</v>
      </c>
      <c r="N7" s="12">
        <f>SUM(B7:M7)</f>
        <v>3000</v>
      </c>
      <c r="O7" s="12">
        <f>DSUM(Revenue,'Revenue Projects'!$E$2,$O$32:$O$34)+DSUM(Revenue,'Revenue Projects'!$E$2,$P$32:$P$33)*12</f>
        <v>0</v>
      </c>
      <c r="P7" s="12">
        <f>DSUM(Revenue,'Revenue Projects'!$E$2,O36:O38)+DSUM(Revenue,'Revenue Projects'!$E$2,$P$32:$P$33)*12</f>
        <v>0</v>
      </c>
      <c r="Q7" s="12">
        <f>DSUM(Revenue,'Revenue Projects'!$E$2,O40:O42)+DSUM(Revenue,'Revenue Projects'!$E$2,$P$32:$P$33)*12</f>
        <v>0</v>
      </c>
      <c r="R7" s="12">
        <f>DSUM(Revenue,'Revenue Projects'!$E$2,O44:O46)+DSUM(Revenue,'Revenue Projects'!$E$2,$P$32:$P$33)*12</f>
        <v>0</v>
      </c>
    </row>
    <row r="8" spans="1:18" ht="12.75">
      <c r="A8" s="2" t="str">
        <f>'Chart of Accounts'!$B$13</f>
        <v>Grants</v>
      </c>
      <c r="B8" s="12">
        <f>DSUM(Grants,Grants!$E$10,B1:B3)</f>
        <v>10000</v>
      </c>
      <c r="C8" s="12">
        <f>DSUM(Grants,Grants!$E$10,C1:C3)</f>
        <v>0</v>
      </c>
      <c r="D8" s="12">
        <f>DSUM(Grants,Grants!$E$10,D1:D3)</f>
        <v>0</v>
      </c>
      <c r="E8" s="12">
        <f>DSUM(Grants,Grants!$E$10,E1:E3)</f>
        <v>0</v>
      </c>
      <c r="F8" s="12">
        <f>DSUM(Grants,Grants!$E$10,F1:F3)</f>
        <v>12000</v>
      </c>
      <c r="G8" s="12">
        <f>DSUM(Grants,Grants!$E$10,G1:G3)</f>
        <v>30000</v>
      </c>
      <c r="H8" s="12">
        <f>DSUM(Grants,Grants!$E$10,H1:H3)</f>
        <v>0</v>
      </c>
      <c r="I8" s="12">
        <f>DSUM(Grants,Grants!$E$10,I1:I3)</f>
        <v>0</v>
      </c>
      <c r="J8" s="12">
        <f>DSUM(Grants,Grants!$E$10,J1:J3)</f>
        <v>64000</v>
      </c>
      <c r="K8" s="12">
        <f>DSUM(Grants,Grants!$E$10,K1:K3)</f>
        <v>0</v>
      </c>
      <c r="L8" s="12">
        <f>DSUM(Grants,Grants!$E$10,L1:L3)</f>
        <v>0</v>
      </c>
      <c r="M8" s="12">
        <f>DSUM(Grants,Grants!$E$10,M1:M3)</f>
        <v>22500</v>
      </c>
      <c r="N8" s="12">
        <f>SUM(B8:M8)</f>
        <v>138500</v>
      </c>
      <c r="O8" s="12">
        <f>Grants!H30</f>
        <v>170000</v>
      </c>
      <c r="P8" s="12">
        <f>Grants!I30</f>
        <v>170000</v>
      </c>
      <c r="Q8" s="12">
        <f>Grants!J30</f>
        <v>170000</v>
      </c>
      <c r="R8" s="12">
        <f>Grants!K30</f>
        <v>170000</v>
      </c>
    </row>
    <row r="9" spans="1:18" ht="13.5" thickBot="1">
      <c r="A9" s="2" t="str">
        <f>'Chart of Accounts'!$B$15</f>
        <v>Other Income</v>
      </c>
      <c r="B9" s="13">
        <f>DSUM(Revenue,'Revenue Projects'!$F$2,B1:B3)+SUM('Unrestricted Revenue'!D44:D47)</f>
        <v>5994.166666666667</v>
      </c>
      <c r="C9" s="13">
        <f>DSUM(Revenue,'Revenue Projects'!$F$2,C1:C3)+SUM('Unrestricted Revenue'!E44:E47)</f>
        <v>6019.581441944445</v>
      </c>
      <c r="D9" s="13">
        <f>DSUM(Revenue,'Revenue Projects'!$F$2,D1:D3)+SUM('Unrestricted Revenue'!F44:F47)</f>
        <v>6053.659827072408</v>
      </c>
      <c r="E9" s="13">
        <f>DSUM(Revenue,'Revenue Projects'!$F$2,E1:E3)+SUM('Unrestricted Revenue'!G44:G47)</f>
        <v>6038.334264457123</v>
      </c>
      <c r="F9" s="13">
        <f>DSUM(Revenue,'Revenue Projects'!$F$2,F1:F3)+SUM('Unrestricted Revenue'!H44:H47)</f>
        <v>9022.998484800093</v>
      </c>
      <c r="G9" s="13">
        <f>DSUM(Revenue,'Revenue Projects'!$F$2,G1:G3)+SUM('Unrestricted Revenue'!I44:I47)</f>
        <v>21020.619147956626</v>
      </c>
      <c r="H9" s="13">
        <f>DSUM(Revenue,'Revenue Projects'!$F$2,H1:H3)+SUM('Unrestricted Revenue'!J44:J47)</f>
        <v>6070.604891555266</v>
      </c>
      <c r="I9" s="13">
        <f>DSUM(Revenue,'Revenue Projects'!$F$2,I1:I3)+SUM('Unrestricted Revenue'!K44:K47)</f>
        <v>6058.423958982969</v>
      </c>
      <c r="J9" s="13">
        <f>DSUM(Revenue,'Revenue Projects'!$F$2,J1:J3)+SUM('Unrestricted Revenue'!L44:L47)</f>
        <v>6044.868239122291</v>
      </c>
      <c r="K9" s="13">
        <f>DSUM(Revenue,'Revenue Projects'!$F$2,K1:K3)+SUM('Unrestricted Revenue'!M44:M47)</f>
        <v>6076.783482115039</v>
      </c>
      <c r="L9" s="13">
        <f>DSUM(Revenue,'Revenue Projects'!$F$2,L1:L3)+SUM('Unrestricted Revenue'!N44:N47)</f>
        <v>6061.473335269782</v>
      </c>
      <c r="M9" s="13">
        <f>DSUM(Revenue,'Revenue Projects'!$F$2,M1:M3)+SUM('Unrestricted Revenue'!O44:O47)</f>
        <v>6046.152981659962</v>
      </c>
      <c r="N9" s="13">
        <f>SUM(B9:M9)</f>
        <v>90507.66672160268</v>
      </c>
      <c r="O9" s="13">
        <f>DSUM(Revenue,'Revenue Projects'!$F$2,O32:O34)+DSUM(Revenue,'Revenue Projects'!$F$2,$P$32:$P$33)*12+SUM('Unrestricted Revenue'!Q44:Q47)</f>
        <v>90048.86897377283</v>
      </c>
      <c r="P9" s="13">
        <f>DSUM(Revenue,'Revenue Projects'!$F$2,O36:O38)+DSUM(Revenue,'Revenue Projects'!$F$2,$P$32:$P$33)*12+SUM('Unrestricted Revenue'!R44:R47)</f>
        <v>73040.173138563</v>
      </c>
      <c r="Q9" s="13">
        <f>DSUM(Revenue,'Revenue Projects'!$F$2,O40:O42)+DSUM(Revenue,'Revenue Projects'!$F$2,$P$32:$P$33)*12+SUM('Unrestricted Revenue'!S44:S47)</f>
        <v>72661.3129276715</v>
      </c>
      <c r="R9" s="13">
        <f>DSUM(Revenue,'Revenue Projects'!$F$2,O44:O46)+DSUM(Revenue,'Revenue Projects'!$F$2,$P$32:$P$33)*12+SUM('Unrestricted Revenue'!T44:T47)</f>
        <v>72607.50961149289</v>
      </c>
    </row>
    <row r="10" spans="1:18" ht="15">
      <c r="A10" s="4" t="s">
        <v>42</v>
      </c>
      <c r="B10" s="224">
        <f>SUM(B5:B9)</f>
        <v>74094.16666666667</v>
      </c>
      <c r="C10" s="224">
        <f aca="true" t="shared" si="0" ref="C10:N10">SUM(C5:C9)</f>
        <v>81619.58144194445</v>
      </c>
      <c r="D10" s="224">
        <f t="shared" si="0"/>
        <v>6653.659827072408</v>
      </c>
      <c r="E10" s="224">
        <f t="shared" si="0"/>
        <v>6638.334264457123</v>
      </c>
      <c r="F10" s="224">
        <f t="shared" si="0"/>
        <v>31622.998484800093</v>
      </c>
      <c r="G10" s="224">
        <f t="shared" si="0"/>
        <v>106620.61914795663</v>
      </c>
      <c r="H10" s="224">
        <f t="shared" si="0"/>
        <v>16670.604891555267</v>
      </c>
      <c r="I10" s="224">
        <f t="shared" si="0"/>
        <v>9658.42395898297</v>
      </c>
      <c r="J10" s="224">
        <f t="shared" si="0"/>
        <v>78144.8682391223</v>
      </c>
      <c r="K10" s="224">
        <f t="shared" si="0"/>
        <v>6676.783482115039</v>
      </c>
      <c r="L10" s="224">
        <f t="shared" si="0"/>
        <v>6661.473335269782</v>
      </c>
      <c r="M10" s="224">
        <f t="shared" si="0"/>
        <v>39146.152981659965</v>
      </c>
      <c r="N10" s="224">
        <f t="shared" si="0"/>
        <v>464207.66672160267</v>
      </c>
      <c r="O10" s="224">
        <f>SUM(O5:O9)</f>
        <v>470998.86897377286</v>
      </c>
      <c r="P10" s="224">
        <f>SUM(P5:P9)</f>
        <v>416802.673138563</v>
      </c>
      <c r="Q10" s="224">
        <f>SUM(Q5:Q9)</f>
        <v>408533.1879276715</v>
      </c>
      <c r="R10" s="224">
        <f>SUM(R5:R9)</f>
        <v>437561.41586149286</v>
      </c>
    </row>
    <row r="11" spans="2:18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4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2" t="str">
        <f>'Chart of Accounts'!$C$3</f>
        <v>Salaries, Taxes, and Benefits</v>
      </c>
      <c r="B13" s="11">
        <f>(('Staff Expenses'!$Q$48+'Staff Expenses'!$Q$58+'Staff Expenses'!$Q$38)/12)+DSUM(Administration,'Administration Projects'!$D$3,B1:B3)+DSUM(Administration,'Administration Projects'!$E$3,B1:B3)</f>
        <v>28132.00375</v>
      </c>
      <c r="C13" s="11">
        <f>(('Staff Expenses'!$Q$48+'Staff Expenses'!$Q$58+'Staff Expenses'!$Q$38)/12)+DSUM(Administration,'Administration Projects'!$D$3,C1:C3)+DSUM(Administration,'Administration Projects'!$E$3,C1:C3)</f>
        <v>27332.00375</v>
      </c>
      <c r="D13" s="11">
        <f>(('Staff Expenses'!$Q$48+'Staff Expenses'!$Q$58+'Staff Expenses'!$Q$38)/12)+DSUM(Administration,'Administration Projects'!$D$3,D1:D3)+DSUM(Administration,'Administration Projects'!$E$3,D1:D3)</f>
        <v>27332.00375</v>
      </c>
      <c r="E13" s="11">
        <f>(('Staff Expenses'!$Q$48+'Staff Expenses'!$Q$58+'Staff Expenses'!$Q$38)/12)+DSUM(Administration,'Administration Projects'!$D$3,E1:E3)+DSUM(Administration,'Administration Projects'!$E$3,E1:E3)</f>
        <v>27332.00375</v>
      </c>
      <c r="F13" s="11">
        <f>(('Staff Expenses'!$Q$48+'Staff Expenses'!$Q$58+'Staff Expenses'!$Q$38)/12)+DSUM(Administration,'Administration Projects'!$D$3,F1:F3)+DSUM(Administration,'Administration Projects'!$E$3,F1:F3)</f>
        <v>27332.00375</v>
      </c>
      <c r="G13" s="11">
        <f>(('Staff Expenses'!$Q$48+'Staff Expenses'!$Q$58+'Staff Expenses'!$Q$38)/12)+DSUM(Administration,'Administration Projects'!$D$3,G1:G3)+DSUM(Administration,'Administration Projects'!$E$3,G1:G3)</f>
        <v>27332.00375</v>
      </c>
      <c r="H13" s="11">
        <f>(('Staff Expenses'!$Q$48+'Staff Expenses'!$Q$58+'Staff Expenses'!$Q$38)/12)+DSUM(Administration,'Administration Projects'!$D$3,H1:H3)+DSUM(Administration,'Administration Projects'!$E$3,H1:H3)</f>
        <v>27332.00375</v>
      </c>
      <c r="I13" s="11">
        <f>(('Staff Expenses'!$Q$48+'Staff Expenses'!$Q$58+'Staff Expenses'!$Q$38)/12)+DSUM(Administration,'Administration Projects'!$D$3,I1:I3)+DSUM(Administration,'Administration Projects'!$E$3,I1:I3)</f>
        <v>27332.00375</v>
      </c>
      <c r="J13" s="11">
        <f>(('Staff Expenses'!$Q$48+'Staff Expenses'!$Q$58+'Staff Expenses'!$Q$38)/12)+DSUM(Administration,'Administration Projects'!$D$3,J1:J3)+DSUM(Administration,'Administration Projects'!$E$3,J1:J3)</f>
        <v>27332.00375</v>
      </c>
      <c r="K13" s="11">
        <f>(('Staff Expenses'!$Q$48+'Staff Expenses'!$Q$58+'Staff Expenses'!$Q$38)/12)+DSUM(Administration,'Administration Projects'!$D$3,K1:K3)+DSUM(Administration,'Administration Projects'!$E$3,K1:K3)</f>
        <v>27332.00375</v>
      </c>
      <c r="L13" s="11">
        <f>(('Staff Expenses'!$Q$48+'Staff Expenses'!$Q$58+'Staff Expenses'!$Q$38)/12)+DSUM(Administration,'Administration Projects'!$D$3,L1:L3)+DSUM(Administration,'Administration Projects'!$E$3,L1:L3)</f>
        <v>27332.00375</v>
      </c>
      <c r="M13" s="11">
        <f>(('Staff Expenses'!$Q$48+'Staff Expenses'!$Q$58+'Staff Expenses'!$Q$38)/12)+DSUM(Administration,'Administration Projects'!$D$3,M1:M3)+DSUM(Administration,'Administration Projects'!$E$3,M1:M3)</f>
        <v>27382.00375</v>
      </c>
      <c r="N13" s="11">
        <f>SUM(B13:M13)</f>
        <v>328834.0449999999</v>
      </c>
      <c r="O13" s="11">
        <f>(('Staff Expenses'!$Q$48+'Staff Expenses'!$Q$58+'Staff Expenses'!$Q$38)*(1+'Staff Expenses'!E4))+DSUM(Administration,'Administration Projects'!$D$3,O32:O34)+DSUM(Administration,'Administration Projects'!$D$3,$P$32:$P$33)*12+DSUM(Administration,'Administration Projects'!$E$3,O32:O34)+DSUM(Administration,'Administration Projects'!$E$3,$P$32:$P$33)*12</f>
        <v>352582.84837499994</v>
      </c>
      <c r="P13" s="11">
        <f>(('Staff Expenses'!$Q$48+'Staff Expenses'!$Q$58+'Staff Expenses'!$Q$38)*(1+'Staff Expenses'!E5))+DSUM(Administration,'Administration Projects'!$D$3,O36:O38)+DSUM(Administration,'Administration Projects'!$D$3,$P$32:$P$33)*12+DSUM(Administration,'Administration Projects'!$E$3,O36:O38)+DSUM(Administration,'Administration Projects'!$E$3,$P$32:$P$33)*12</f>
        <v>360782.4495</v>
      </c>
      <c r="Q13" s="11">
        <f>(('Staff Expenses'!$Q$48+'Staff Expenses'!$Q$58+'Staff Expenses'!$Q$38)*(1+'Staff Expenses'!E6))+DSUM(Administration,'Administration Projects'!$D$3,O40:O42)+DSUM(Administration,'Administration Projects'!$D$3,$P$32:$P$33)*12+DSUM(Administration,'Administration Projects'!$E$3,O40:O42)+DSUM(Administration,'Administration Projects'!$E$3,$P$32:$P$33)*12</f>
        <v>364062.28995</v>
      </c>
      <c r="R13" s="11">
        <f>(('Staff Expenses'!$Q$48+'Staff Expenses'!$Q$58+'Staff Expenses'!$Q$38)*(1+'Staff Expenses'!E7))+DSUM(Administration,'Administration Projects'!$D$3,O44:O46)+DSUM(Administration,'Administration Projects'!$D$3,$P$32:$P$33)*12+DSUM(Administration,'Administration Projects'!$E$3,O44:O46)+DSUM(Administration,'Administration Projects'!$E$3,$P$32:$P$33)*12</f>
        <v>367342.1304</v>
      </c>
    </row>
    <row r="14" spans="1:20" ht="12.75">
      <c r="A14" s="2" t="str">
        <f>'Chart of Accounts'!$C$10</f>
        <v>Professional Services</v>
      </c>
      <c r="B14" s="12">
        <f>DSUM(Conservation,'Conservation Projects'!$E$3,B1:B3)+DSUM(Conservation,'Conservation Projects'!$F$3,B1:B3)+DSUM(Conservation,'Conservation Projects'!$D$3,B1:B3)+DSUM(Outreach,'Outreach Projects'!$D$3,B1:B3)+DSUM(Development,'Development Projects'!$D$3,B1:B3)+DSUM(Development,'Development Projects'!$E$3,B1:B3)+DSUM(Administration,'Administration Projects'!$F$3,B1:B3)+DSUM(Administration,'Administration Projects'!$G$3,B1:B3)+DSUM(Administration,'Administration Projects'!$H$3,B1:B3)+DSUM(Administration,'Administration Projects'!$I$3,B1:B3)+DSUM(Capital,'Capital Projects'!$D$3,B1:B3)+DSUM(Capital,'Capital Projects'!$F$3,B1:B3)+DSUM(Membership,Membership!$D$49,B1:B3)+DSUM(Capital,'Capital Projects'!$E$3,B1:B3)</f>
        <v>5050</v>
      </c>
      <c r="C14" s="12">
        <f>DSUM(Conservation,'Conservation Projects'!$E$3,C1:C3)+DSUM(Conservation,'Conservation Projects'!$F$3,C1:C3)+DSUM(Conservation,'Conservation Projects'!$D$3,C1:C3)+DSUM(Outreach,'Outreach Projects'!$D$3,C1:C3)+DSUM(Development,'Development Projects'!$D$3,C1:C3)+DSUM(Development,'Development Projects'!$E$3,C1:C3)+DSUM(Administration,'Administration Projects'!$F$3,C1:C3)+DSUM(Administration,'Administration Projects'!$G$3,C1:C3)+DSUM(Administration,'Administration Projects'!$H$3,C1:C3)+DSUM(Administration,'Administration Projects'!$I$3,C1:C3)+DSUM(Capital,'Capital Projects'!$D$3,C1:C3)+DSUM(Capital,'Capital Projects'!$F$3,C1:C3)+DSUM(Membership,Membership!$D$49,C1:C3)+DSUM(Capital,'Capital Projects'!$E$3,C1:C3)</f>
        <v>450</v>
      </c>
      <c r="D14" s="12">
        <f>DSUM(Conservation,'Conservation Projects'!$E$3,D1:D3)+DSUM(Conservation,'Conservation Projects'!$F$3,D1:D3)+DSUM(Conservation,'Conservation Projects'!$D$3,D1:D3)+DSUM(Outreach,'Outreach Projects'!$D$3,D1:D3)+DSUM(Development,'Development Projects'!$D$3,D1:D3)+DSUM(Development,'Development Projects'!$E$3,D1:D3)+DSUM(Administration,'Administration Projects'!$F$3,D1:D3)+DSUM(Administration,'Administration Projects'!$G$3,D1:D3)+DSUM(Administration,'Administration Projects'!$H$3,D1:D3)+DSUM(Administration,'Administration Projects'!$I$3,D1:D3)+DSUM(Capital,'Capital Projects'!$D$3,D1:D3)+DSUM(Capital,'Capital Projects'!$F$3,D1:D3)+DSUM(Membership,Membership!$D$49,D1:D3)+DSUM(Capital,'Capital Projects'!$E$3,D1:D3)</f>
        <v>250</v>
      </c>
      <c r="E14" s="12">
        <f>DSUM(Conservation,'Conservation Projects'!$E$3,E1:E3)+DSUM(Conservation,'Conservation Projects'!$F$3,E1:E3)+DSUM(Conservation,'Conservation Projects'!$D$3,E1:E3)+DSUM(Outreach,'Outreach Projects'!$D$3,E1:E3)+DSUM(Development,'Development Projects'!$D$3,E1:E3)+DSUM(Development,'Development Projects'!$E$3,E1:E3)+DSUM(Administration,'Administration Projects'!$F$3,E1:E3)+DSUM(Administration,'Administration Projects'!$G$3,E1:E3)+DSUM(Administration,'Administration Projects'!$H$3,E1:E3)+DSUM(Administration,'Administration Projects'!$I$3,E1:E3)+DSUM(Capital,'Capital Projects'!$D$3,E1:E3)+DSUM(Capital,'Capital Projects'!$F$3,E1:E3)+DSUM(Membership,Membership!$D$49,E1:E3)+DSUM(Capital,'Capital Projects'!$E$3,E1:E3)</f>
        <v>250</v>
      </c>
      <c r="F14" s="12">
        <f>DSUM(Conservation,'Conservation Projects'!$E$3,F1:F3)+DSUM(Conservation,'Conservation Projects'!$F$3,F1:F3)+DSUM(Conservation,'Conservation Projects'!$D$3,F1:F3)+DSUM(Outreach,'Outreach Projects'!$D$3,F1:F3)+DSUM(Development,'Development Projects'!$D$3,F1:F3)+DSUM(Development,'Development Projects'!$E$3,F1:F3)+DSUM(Administration,'Administration Projects'!$F$3,F1:F3)+DSUM(Administration,'Administration Projects'!$G$3,F1:F3)+DSUM(Administration,'Administration Projects'!$H$3,F1:F3)+DSUM(Administration,'Administration Projects'!$I$3,F1:F3)+DSUM(Capital,'Capital Projects'!$D$3,F1:F3)+DSUM(Capital,'Capital Projects'!$F$3,F1:F3)+DSUM(Membership,Membership!$D$49,F1:F3)+DSUM(Capital,'Capital Projects'!$E$3,F1:F3)</f>
        <v>2250</v>
      </c>
      <c r="G14" s="12">
        <f>DSUM(Conservation,'Conservation Projects'!$E$3,G1:G3)+DSUM(Conservation,'Conservation Projects'!$F$3,G1:G3)+DSUM(Conservation,'Conservation Projects'!$D$3,G1:G3)+DSUM(Outreach,'Outreach Projects'!$D$3,G1:G3)+DSUM(Development,'Development Projects'!$D$3,G1:G3)+DSUM(Development,'Development Projects'!$E$3,G1:G3)+DSUM(Administration,'Administration Projects'!$F$3,G1:G3)+DSUM(Administration,'Administration Projects'!$G$3,G1:G3)+DSUM(Administration,'Administration Projects'!$H$3,G1:G3)+DSUM(Administration,'Administration Projects'!$I$3,G1:G3)+DSUM(Capital,'Capital Projects'!$D$3,G1:G3)+DSUM(Capital,'Capital Projects'!$F$3,G1:G3)+DSUM(Membership,Membership!$D$49,G1:G3)+DSUM(Capital,'Capital Projects'!$E$3,G1:G3)</f>
        <v>2250</v>
      </c>
      <c r="H14" s="12">
        <f>DSUM(Conservation,'Conservation Projects'!$E$3,H1:H3)+DSUM(Conservation,'Conservation Projects'!$F$3,H1:H3)+DSUM(Conservation,'Conservation Projects'!$D$3,H1:H3)+DSUM(Outreach,'Outreach Projects'!$D$3,H1:H3)+DSUM(Development,'Development Projects'!$D$3,H1:H3)+DSUM(Development,'Development Projects'!$E$3,H1:H3)+DSUM(Administration,'Administration Projects'!$F$3,H1:H3)+DSUM(Administration,'Administration Projects'!$G$3,H1:H3)+DSUM(Administration,'Administration Projects'!$H$3,H1:H3)+DSUM(Administration,'Administration Projects'!$I$3,H1:H3)+DSUM(Capital,'Capital Projects'!$D$3,H1:H3)+DSUM(Capital,'Capital Projects'!$F$3,H1:H3)+DSUM(Membership,Membership!$D$49,H1:H3)+DSUM(Capital,'Capital Projects'!$E$3,H1:H3)</f>
        <v>2250</v>
      </c>
      <c r="I14" s="12">
        <f>DSUM(Conservation,'Conservation Projects'!$E$3,I1:I3)+DSUM(Conservation,'Conservation Projects'!$F$3,I1:I3)+DSUM(Conservation,'Conservation Projects'!$D$3,I1:I3)+DSUM(Outreach,'Outreach Projects'!$D$3,I1:I3)+DSUM(Development,'Development Projects'!$D$3,I1:I3)+DSUM(Development,'Development Projects'!$E$3,I1:I3)+DSUM(Administration,'Administration Projects'!$F$3,I1:I3)+DSUM(Administration,'Administration Projects'!$G$3,I1:I3)+DSUM(Administration,'Administration Projects'!$H$3,I1:I3)+DSUM(Administration,'Administration Projects'!$I$3,I1:I3)+DSUM(Capital,'Capital Projects'!$D$3,I1:I3)+DSUM(Capital,'Capital Projects'!$F$3,I1:I3)+DSUM(Membership,Membership!$D$49,I1:I3)+DSUM(Capital,'Capital Projects'!$E$3,I1:I3)</f>
        <v>250</v>
      </c>
      <c r="J14" s="12">
        <f>DSUM(Conservation,'Conservation Projects'!$E$3,J1:J3)+DSUM(Conservation,'Conservation Projects'!$F$3,J1:J3)+DSUM(Conservation,'Conservation Projects'!$D$3,J1:J3)+DSUM(Outreach,'Outreach Projects'!$D$3,J1:J3)+DSUM(Development,'Development Projects'!$D$3,J1:J3)+DSUM(Development,'Development Projects'!$E$3,J1:J3)+DSUM(Administration,'Administration Projects'!$F$3,J1:J3)+DSUM(Administration,'Administration Projects'!$G$3,J1:J3)+DSUM(Administration,'Administration Projects'!$H$3,J1:J3)+DSUM(Administration,'Administration Projects'!$I$3,J1:J3)+DSUM(Capital,'Capital Projects'!$D$3,J1:J3)+DSUM(Capital,'Capital Projects'!$F$3,J1:J3)+DSUM(Membership,Membership!$D$49,J1:J3)+DSUM(Capital,'Capital Projects'!$E$3,J1:J3)</f>
        <v>550</v>
      </c>
      <c r="K14" s="12">
        <f>DSUM(Conservation,'Conservation Projects'!$E$3,K1:K3)+DSUM(Conservation,'Conservation Projects'!$F$3,K1:K3)+DSUM(Conservation,'Conservation Projects'!$D$3,K1:K3)+DSUM(Outreach,'Outreach Projects'!$D$3,K1:K3)+DSUM(Development,'Development Projects'!$D$3,K1:K3)+DSUM(Development,'Development Projects'!$E$3,K1:K3)+DSUM(Administration,'Administration Projects'!$F$3,K1:K3)+DSUM(Administration,'Administration Projects'!$G$3,K1:K3)+DSUM(Administration,'Administration Projects'!$H$3,K1:K3)+DSUM(Administration,'Administration Projects'!$I$3,K1:K3)+DSUM(Capital,'Capital Projects'!$D$3,K1:K3)+DSUM(Capital,'Capital Projects'!$F$3,K1:K3)+DSUM(Membership,Membership!$D$49,K1:K3)+DSUM(Capital,'Capital Projects'!$E$3,K1:K3)</f>
        <v>250</v>
      </c>
      <c r="L14" s="12">
        <f>DSUM(Conservation,'Conservation Projects'!$E$3,L1:L3)+DSUM(Conservation,'Conservation Projects'!$F$3,L1:L3)+DSUM(Conservation,'Conservation Projects'!$D$3,L1:L3)+DSUM(Outreach,'Outreach Projects'!$D$3,L1:L3)+DSUM(Development,'Development Projects'!$D$3,L1:L3)+DSUM(Development,'Development Projects'!$E$3,L1:L3)+DSUM(Administration,'Administration Projects'!$F$3,L1:L3)+DSUM(Administration,'Administration Projects'!$G$3,L1:L3)+DSUM(Administration,'Administration Projects'!$H$3,L1:L3)+DSUM(Administration,'Administration Projects'!$I$3,L1:L3)+DSUM(Capital,'Capital Projects'!$D$3,L1:L3)+DSUM(Capital,'Capital Projects'!$F$3,L1:L3)+DSUM(Membership,Membership!$D$49,L1:L3)+DSUM(Capital,'Capital Projects'!$E$3,L1:L3)</f>
        <v>250</v>
      </c>
      <c r="M14" s="12">
        <f>DSUM(Conservation,'Conservation Projects'!$E$3,M1:M3)+DSUM(Conservation,'Conservation Projects'!$F$3,M1:M3)+DSUM(Conservation,'Conservation Projects'!$D$3,M1:M3)+DSUM(Outreach,'Outreach Projects'!$D$3,M1:M3)+DSUM(Development,'Development Projects'!$D$3,M1:M3)+DSUM(Development,'Development Projects'!$E$3,M1:M3)+DSUM(Administration,'Administration Projects'!$F$3,M1:M3)+DSUM(Administration,'Administration Projects'!$G$3,M1:M3)+DSUM(Administration,'Administration Projects'!$H$3,M1:M3)+DSUM(Administration,'Administration Projects'!$I$3,M1:M3)+DSUM(Capital,'Capital Projects'!$D$3,M1:M3)+DSUM(Capital,'Capital Projects'!$F$3,M1:M3)+DSUM(Membership,Membership!$D$49,M1:M3)+DSUM(Capital,'Capital Projects'!$E$3,M1:M3)</f>
        <v>4250</v>
      </c>
      <c r="N14" s="12">
        <f aca="true" t="shared" si="1" ref="N14:N21">SUM(B14:M14)</f>
        <v>18300</v>
      </c>
      <c r="O14" s="12">
        <f>DSUM(Conservation,'Conservation Projects'!$E$3,O32:O34)+DSUM(Conservation,'Conservation Projects'!$F$3,O32:O34)+DSUM(Conservation,'Conservation Projects'!$D$3,O32:O34)+DSUM(Outreach,'Outreach Projects'!$D$3,O32:O34)+DSUM(Development,'Development Projects'!$D$3,O32:O34)+DSUM(Development,'Development Projects'!$E$3,O32:O34)+DSUM(Administration,'Administration Projects'!$F$3,O32:O34)+DSUM(Administration,'Administration Projects'!$G$3,O32:O34)+DSUM(Administration,'Administration Projects'!$H$3,O32:O34)+DSUM(Administration,'Administration Projects'!$I$3,O32:O34)+DSUM(Capital,'Capital Projects'!$D$3,O32:O34)+DSUM(Capital,'Capital Projects'!$F$3,O32:O34)+(((Membership!C21+Membership!C22)*Membership!C29)+((Membership!C35+Membership!C36)*Membership!C43)+((Membership!C7+Membership!C8)*Membership!C15))+S14+DSUM(Capital,'Capital Projects'!E3,O32:O34)</f>
        <v>18550</v>
      </c>
      <c r="P14" s="12">
        <f>DSUM(Conservation,'Conservation Projects'!$E$3,O36:O38)+DSUM(Conservation,'Conservation Projects'!$F$3,O36:O38)+DSUM(Conservation,'Conservation Projects'!$D$3,O36:O38)+DSUM(Outreach,'Outreach Projects'!$D$3,O36:O38)+DSUM(Development,'Development Projects'!$D$3,O36:O38)+DSUM(Development,'Development Projects'!$E$3,O36:O38)+DSUM(Administration,'Administration Projects'!$F$3,O36:O38)+DSUM(Administration,'Administration Projects'!$G$3,O36:O38)+DSUM(Administration,'Administration Projects'!$H$3,O36:O38)+DSUM(Administration,'Administration Projects'!$I$3,O36:O38)+DSUM(Capital,'Capital Projects'!$D$3,O36:O38)+DSUM(Capital,'Capital Projects'!$F$3,O36:O38)+(((Membership!D21+Membership!D22)*Membership!D29)+((Membership!D35+Membership!D36)*Membership!D43)+((Membership!D7+Membership!D8)*Membership!D15))+S14+DSUM(Capital,'Capital Projects'!E3,O36:O38)</f>
        <v>9800</v>
      </c>
      <c r="Q14" s="12">
        <f>DSUM(Conservation,'Conservation Projects'!$E$3,O40:O42)+DSUM(Conservation,'Conservation Projects'!$F$3,O40:O42)+DSUM(Conservation,'Conservation Projects'!$D$3,O40:O42)+DSUM(Outreach,'Outreach Projects'!$D$3,O40:O42)+DSUM(Development,'Development Projects'!$D$3,O40:O42)+DSUM(Development,'Development Projects'!$E$3,O40:O42)+DSUM(Administration,'Administration Projects'!$F$3,O40:O42)+DSUM(Administration,'Administration Projects'!$G$3,O40:O42)+DSUM(Administration,'Administration Projects'!$H$3,O40:O42)+DSUM(Administration,'Administration Projects'!$I$3,O40:O42)+DSUM(Capital,'Capital Projects'!$D$3,O40:O42)+DSUM(Capital,'Capital Projects'!$F$3,O40:O42)+(((Membership!E21+Membership!E22)*Membership!E29)+((Membership!E35+Membership!E36)*Membership!E43)+((Membership!E7+Membership!E8)*Membership!E15))+S14+DSUM(Capital,'Capital Projects'!E3,O40:O42)</f>
        <v>9800</v>
      </c>
      <c r="R14" s="12">
        <f>DSUM(Conservation,'Conservation Projects'!$E$3,O44:O46)+DSUM(Conservation,'Conservation Projects'!$F$3,O44:O46)+DSUM(Conservation,'Conservation Projects'!$D$3,O44:O46)+DSUM(Outreach,'Outreach Projects'!$D$3,O44:O46)+DSUM(Development,'Development Projects'!$D$3,O44:O46)+DSUM(Development,'Development Projects'!$E$3,O44:O46)+DSUM(Administration,'Administration Projects'!$F$3,O44:O46)+DSUM(Administration,'Administration Projects'!$G$3,O44:O46)+DSUM(Administration,'Administration Projects'!$H$3,O44:O46)+DSUM(Administration,'Administration Projects'!$I$3,O44:O46)+DSUM(Capital,'Capital Projects'!$D$3,O44:O46)+DSUM(Capital,'Capital Projects'!$F$3,O44:O46)+(((Membership!F21+Membership!F22)*Membership!F29)+((Membership!F35+Membership!F36)*Membership!F43)+((Membership!F7+Membership!F8)*Membership!F15))+S14+DSUM(Capital,'Capital Projects'!E3,O44:O46)</f>
        <v>10100</v>
      </c>
      <c r="S14" s="267">
        <f>DSUM(Conservation,'Conservation Projects'!$E$3,P32:P33)*12+DSUM(Conservation,'Conservation Projects'!$F$3,P32:P33)*12+DSUM(Conservation,'Conservation Projects'!$D$3,P32:P33)*12+DSUM(Outreach,'Outreach Projects'!$D$3,P32:P33)*12+DSUM(Development,'Development Projects'!$D$3,P32:P33)*12+DSUM(Development,'Development Projects'!$E$3,P32:P33)*12+DSUM(Administration,'Administration Projects'!$F$3,P32:P33)*12+DSUM(Administration,'Administration Projects'!$G$3,P32:P33)*12+DSUM(Administration,'Administration Projects'!$H$3,P32:P33)*12+DSUM(Administration,'Administration Projects'!$I$3,P32:P33)*12+DSUM(Capital,'Capital Projects'!$D$3,P32:P33)*12+DSUM(Capital,'Capital Projects'!$F$3,P32:P33)*12+DSUM(Capital,'Capital Projects'!E3,P32:P33)*12</f>
        <v>3000</v>
      </c>
      <c r="T14" s="179"/>
    </row>
    <row r="15" spans="1:20" ht="12.75">
      <c r="A15" s="2" t="str">
        <f>'Chart of Accounts'!$C$18</f>
        <v>Telephone</v>
      </c>
      <c r="B15" s="12">
        <f>SUM('Shared &amp; Allocation'!$Q$21:$Q$22)</f>
        <v>200</v>
      </c>
      <c r="C15" s="12">
        <f>SUM('Shared &amp; Allocation'!$Q$21:$Q$22)</f>
        <v>200</v>
      </c>
      <c r="D15" s="12">
        <f>SUM('Shared &amp; Allocation'!$Q$21:$Q$22)</f>
        <v>200</v>
      </c>
      <c r="E15" s="12">
        <f>SUM('Shared &amp; Allocation'!$Q$21:$Q$22)</f>
        <v>200</v>
      </c>
      <c r="F15" s="12">
        <f>SUM('Shared &amp; Allocation'!$Q$21:$Q$22)</f>
        <v>200</v>
      </c>
      <c r="G15" s="12">
        <f>SUM('Shared &amp; Allocation'!$Q$21:$Q$22)</f>
        <v>200</v>
      </c>
      <c r="H15" s="12">
        <f>SUM('Shared &amp; Allocation'!$Q$21:$Q$22)</f>
        <v>200</v>
      </c>
      <c r="I15" s="12">
        <f>SUM('Shared &amp; Allocation'!$Q$21:$Q$22)</f>
        <v>200</v>
      </c>
      <c r="J15" s="12">
        <f>SUM('Shared &amp; Allocation'!$Q$21:$Q$22)</f>
        <v>200</v>
      </c>
      <c r="K15" s="12">
        <f>SUM('Shared &amp; Allocation'!$Q$21:$Q$22)</f>
        <v>200</v>
      </c>
      <c r="L15" s="12">
        <f>SUM('Shared &amp; Allocation'!$Q$21:$Q$22)</f>
        <v>200</v>
      </c>
      <c r="M15" s="12">
        <f>SUM('Shared &amp; Allocation'!$Q$21:$Q$22)</f>
        <v>200</v>
      </c>
      <c r="N15" s="12">
        <f t="shared" si="1"/>
        <v>2400</v>
      </c>
      <c r="O15" s="12">
        <f>SUM('Shared &amp; Allocation'!E4:E5)</f>
        <v>3000</v>
      </c>
      <c r="P15" s="12">
        <f>SUM('Shared &amp; Allocation'!G4:G5)</f>
        <v>3000</v>
      </c>
      <c r="Q15" s="12">
        <f>SUM('Shared &amp; Allocation'!I4:I5)</f>
        <v>3000</v>
      </c>
      <c r="R15" s="12">
        <f>SUM('Shared &amp; Allocation'!K4:K5)</f>
        <v>3000</v>
      </c>
      <c r="S15" s="179"/>
      <c r="T15" s="179"/>
    </row>
    <row r="16" spans="1:20" ht="12.75">
      <c r="A16" s="2" t="str">
        <f>'Chart of Accounts'!$C$22</f>
        <v>Occupancy</v>
      </c>
      <c r="B16" s="12">
        <f>SUM('Shared &amp; Allocation'!$Q$23:$Q$25)+DSUM(Conservation,'Conservation Projects'!$G$3,B1:B3)+DSUM(Outreach,'Outreach Projects'!$E$3,B1:B3)+DSUM(Development,'Development Projects'!$F$3,B1:B3)+DSUM(Administration,'Administration Projects'!$J$3,B1:B3)</f>
        <v>524.9999999999999</v>
      </c>
      <c r="C16" s="12">
        <f>SUM('Shared &amp; Allocation'!$Q$23:$Q$25)+DSUM(Conservation,'Conservation Projects'!$G$3,C1:C3)+DSUM(Outreach,'Outreach Projects'!$E$3,C1:C3)+DSUM(Development,'Development Projects'!$F$3,C1:C3)+DSUM(Administration,'Administration Projects'!$J$3,C1:C3)</f>
        <v>524.9999999999999</v>
      </c>
      <c r="D16" s="12">
        <f>SUM('Shared &amp; Allocation'!$Q$23:$Q$25)+DSUM(Conservation,'Conservation Projects'!$G$3,D1:D3)+DSUM(Outreach,'Outreach Projects'!$E$3,D1:D3)+DSUM(Development,'Development Projects'!$F$3,D1:D3)+DSUM(Administration,'Administration Projects'!$J$3,D1:D3)</f>
        <v>524.9999999999999</v>
      </c>
      <c r="E16" s="12">
        <f>SUM('Shared &amp; Allocation'!$Q$23:$Q$25)+DSUM(Conservation,'Conservation Projects'!$G$3,E1:E3)+DSUM(Outreach,'Outreach Projects'!$E$3,E1:E3)+DSUM(Development,'Development Projects'!$F$3,E1:E3)+DSUM(Administration,'Administration Projects'!$J$3,E1:E3)</f>
        <v>524.9999999999999</v>
      </c>
      <c r="F16" s="12">
        <f>SUM('Shared &amp; Allocation'!$Q$23:$Q$25)+DSUM(Conservation,'Conservation Projects'!$G$3,F1:F3)+DSUM(Outreach,'Outreach Projects'!$E$3,F1:F3)+DSUM(Development,'Development Projects'!$F$3,F1:F3)+DSUM(Administration,'Administration Projects'!$J$3,F1:F3)</f>
        <v>774.9999999999999</v>
      </c>
      <c r="G16" s="12">
        <f>SUM('Shared &amp; Allocation'!$Q$23:$Q$25)+DSUM(Conservation,'Conservation Projects'!$G$3,G1:G3)+DSUM(Outreach,'Outreach Projects'!$E$3,G1:G3)+DSUM(Development,'Development Projects'!$F$3,G1:G3)+DSUM(Administration,'Administration Projects'!$J$3,G1:G3)</f>
        <v>524.9999999999999</v>
      </c>
      <c r="H16" s="12">
        <f>SUM('Shared &amp; Allocation'!$Q$23:$Q$25)+DSUM(Conservation,'Conservation Projects'!$G$3,H1:H3)+DSUM(Outreach,'Outreach Projects'!$E$3,H1:H3)+DSUM(Development,'Development Projects'!$F$3,H1:H3)+DSUM(Administration,'Administration Projects'!$J$3,H1:H3)</f>
        <v>524.9999999999999</v>
      </c>
      <c r="I16" s="12">
        <f>SUM('Shared &amp; Allocation'!$Q$23:$Q$25)+DSUM(Conservation,'Conservation Projects'!$G$3,I1:I3)+DSUM(Outreach,'Outreach Projects'!$E$3,I1:I3)+DSUM(Development,'Development Projects'!$F$3,I1:I3)+DSUM(Administration,'Administration Projects'!$J$3,I1:I3)</f>
        <v>524.9999999999999</v>
      </c>
      <c r="J16" s="12">
        <f>SUM('Shared &amp; Allocation'!$Q$23:$Q$25)+DSUM(Conservation,'Conservation Projects'!$G$3,J1:J3)+DSUM(Outreach,'Outreach Projects'!$E$3,J1:J3)+DSUM(Development,'Development Projects'!$F$3,J1:J3)+DSUM(Administration,'Administration Projects'!$J$3,J1:J3)</f>
        <v>524.9999999999999</v>
      </c>
      <c r="K16" s="12">
        <f>SUM('Shared &amp; Allocation'!$Q$23:$Q$25)+DSUM(Conservation,'Conservation Projects'!$G$3,K1:K3)+DSUM(Outreach,'Outreach Projects'!$E$3,K1:K3)+DSUM(Development,'Development Projects'!$F$3,K1:K3)+DSUM(Administration,'Administration Projects'!$J$3,K1:K3)</f>
        <v>524.9999999999999</v>
      </c>
      <c r="L16" s="12">
        <f>SUM('Shared &amp; Allocation'!$Q$23:$Q$25)+DSUM(Conservation,'Conservation Projects'!$G$3,L1:L3)+DSUM(Outreach,'Outreach Projects'!$E$3,L1:L3)+DSUM(Development,'Development Projects'!$F$3,L1:L3)+DSUM(Administration,'Administration Projects'!$J$3,L1:L3)</f>
        <v>524.9999999999999</v>
      </c>
      <c r="M16" s="12">
        <f>SUM('Shared &amp; Allocation'!$Q$23:$Q$25)+DSUM(Conservation,'Conservation Projects'!$G$3,M1:M3)+DSUM(Outreach,'Outreach Projects'!$E$3,M1:M3)+DSUM(Development,'Development Projects'!$F$3,M1:M3)+DSUM(Administration,'Administration Projects'!$J$3,M1:M3)</f>
        <v>1275</v>
      </c>
      <c r="N16" s="12">
        <f t="shared" si="1"/>
        <v>7299.999999999999</v>
      </c>
      <c r="O16" s="12">
        <f>SUM('Shared &amp; Allocation'!E6:E8)+DSUM(Conservation,'Conservation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Projects'!$G$3,O32:O34)+DSUM(Outreach,'Outreach Projects'!$E$3,O32:O34)+DSUM(Development,'Development Projects'!$F$3,O32:O34)+DSUM(Administration,'Administration Projects'!$J$3,O32:O34)</f>
        <v>6900</v>
      </c>
      <c r="P16" s="12">
        <f>SUM('Shared &amp; Allocation'!G6:G8)+DSUM(Conservation,'Conservation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Projects'!$G$3,O36:O38)+DSUM(Outreach,'Outreach Projects'!$E$3,O36:O38)+DSUM(Development,'Development Projects'!$F$3,O36:O38)+DSUM(Administration,'Administration Projects'!$J$3,O36:O38)</f>
        <v>6900</v>
      </c>
      <c r="Q16" s="12">
        <f>SUM('Shared &amp; Allocation'!I6:I8)+DSUM(Conservation,'Conservation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Projects'!$G$3,O40:O42)+DSUM(Outreach,'Outreach Projects'!$E$3,O40:O42)+DSUM(Development,'Development Projects'!$F$3,O40:O42)+DSUM(Administration,'Administration Projects'!$J$3,O40:O42)</f>
        <v>6900</v>
      </c>
      <c r="R16" s="12">
        <f>SUM('Shared &amp; Allocation'!K6:K8)+DSUM(Conservation,'Conservation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Projects'!$G$3,O44:O46)+DSUM(Outreach,'Outreach Projects'!$E$3,O44:O46)+DSUM(Development,'Development Projects'!$F$3,O44:O46)+DSUM(Administration,'Administration Projects'!$J$3,O44:O46)</f>
        <v>6900</v>
      </c>
      <c r="S16" s="179"/>
      <c r="T16" s="179"/>
    </row>
    <row r="17" spans="1:20" ht="12.75">
      <c r="A17" s="2" t="str">
        <f>'Chart of Accounts'!$D$3</f>
        <v>Equipment</v>
      </c>
      <c r="B17" s="12">
        <f>SUM('Shared &amp; Allocation'!$Q$26:$Q$28)</f>
        <v>334.99999999999994</v>
      </c>
      <c r="C17" s="12">
        <f>SUM('Shared &amp; Allocation'!$Q$26:$Q$28)</f>
        <v>334.99999999999994</v>
      </c>
      <c r="D17" s="12">
        <f>SUM('Shared &amp; Allocation'!$Q$26:$Q$28)</f>
        <v>334.99999999999994</v>
      </c>
      <c r="E17" s="12">
        <f>SUM('Shared &amp; Allocation'!$Q$26:$Q$28)</f>
        <v>334.99999999999994</v>
      </c>
      <c r="F17" s="12">
        <f>SUM('Shared &amp; Allocation'!$Q$26:$Q$28)</f>
        <v>334.99999999999994</v>
      </c>
      <c r="G17" s="12">
        <f>SUM('Shared &amp; Allocation'!$Q$26:$Q$28)</f>
        <v>334.99999999999994</v>
      </c>
      <c r="H17" s="12">
        <f>SUM('Shared &amp; Allocation'!$Q$26:$Q$28)</f>
        <v>334.99999999999994</v>
      </c>
      <c r="I17" s="12">
        <f>SUM('Shared &amp; Allocation'!$Q$26:$Q$28)</f>
        <v>334.99999999999994</v>
      </c>
      <c r="J17" s="12">
        <f>SUM('Shared &amp; Allocation'!$Q$26:$Q$28)</f>
        <v>334.99999999999994</v>
      </c>
      <c r="K17" s="12">
        <f>SUM('Shared &amp; Allocation'!$Q$26:$Q$28)</f>
        <v>334.99999999999994</v>
      </c>
      <c r="L17" s="12">
        <f>SUM('Shared &amp; Allocation'!$Q$26:$Q$28)</f>
        <v>334.99999999999994</v>
      </c>
      <c r="M17" s="12">
        <f>SUM('Shared &amp; Allocation'!$Q$26:$Q$28)</f>
        <v>334.99999999999994</v>
      </c>
      <c r="N17" s="12">
        <f t="shared" si="1"/>
        <v>4019.9999999999995</v>
      </c>
      <c r="O17" s="12">
        <f>SUM('Shared &amp; Allocation'!E9:E11)</f>
        <v>4200</v>
      </c>
      <c r="P17" s="12">
        <f>SUM('Shared &amp; Allocation'!G9:G11)</f>
        <v>4200</v>
      </c>
      <c r="Q17" s="12">
        <f>SUM('Shared &amp; Allocation'!I9:I11)</f>
        <v>4200</v>
      </c>
      <c r="R17" s="12">
        <f>SUM('Shared &amp; Allocation'!K9:K11)</f>
        <v>4200</v>
      </c>
      <c r="S17" s="179"/>
      <c r="T17" s="179"/>
    </row>
    <row r="18" spans="1:20" ht="12.75">
      <c r="A18" s="2" t="str">
        <f>'Chart of Accounts'!$D$8</f>
        <v>General  / Misc.</v>
      </c>
      <c r="B18" s="12">
        <f>SUM('Shared &amp; Allocation'!$Q$29:$Q$31)+DSUM(Conservation,'Conservation Projects'!$H$3,B1:B3)+DSUM(Conservation,'Conservation Projects'!$I$3,B1:B3)+DSUM(Conservation,'Conservation Projects'!$K$3,B1:B3)+DSUM(Conservation,'Conservation Projects'!$J$3,B1:B3)+DSUM(Outreach,'Outreach Projects'!$F$3,B1:B3)+DSUM(Outreach,'Outreach Projects'!$G$3,B1:B3)+DSUM(Outreach,'Outreach Projects'!$H$3,B1:B3)+DSUM(Outreach,'Outreach Projects'!$I$3,B1:B3)+DSUM(Development,'Development Projects'!$G$3,B1:B3)+DSUM(Development,'Development Projects'!$H$3,B1:B3)+DSUM(Development,'Development Projects'!$J$3,B1:B3)+DSUM(Development,'Development Projects'!$I$3,B1:B3)+DSUM(Administration,'Administration Projects'!$K$3,B1:B3)+DSUM(Administration,'Administration Projects'!$L$3,B1:B3)+DSUM(Administration,'Administration Projects'!$M$3,B1:B3)+DSUM(Administration,'Administration Projects'!$N$3,B1:B3)+DSUM(Capital,'Capital Projects'!$G$3,B1:B3)+DSUM(Capital,'Capital Projects'!$I$3,B1:B3)+DSUM(Capital,'Capital Projects'!$H$3,B1:B3)</f>
        <v>825</v>
      </c>
      <c r="C18" s="12">
        <f>SUM('Shared &amp; Allocation'!$Q$29:$Q$31)+DSUM(Conservation,'Conservation Projects'!$H$3,C1:C3)+DSUM(Conservation,'Conservation Projects'!$I$3,C1:C3)+DSUM(Conservation,'Conservation Projects'!$K$3,C1:C3)+DSUM(Conservation,'Conservation Projects'!$J$3,C1:C3)+DSUM(Outreach,'Outreach Projects'!$F$3,C1:C3)+DSUM(Outreach,'Outreach Projects'!$G$3,C1:C3)+DSUM(Outreach,'Outreach Projects'!$H$3,C1:C3)+DSUM(Outreach,'Outreach Projects'!$I$3,C1:C3)+DSUM(Development,'Development Projects'!$G$3,C1:C3)+DSUM(Development,'Development Projects'!$H$3,C1:C3)+DSUM(Development,'Development Projects'!$J$3,C1:C3)+DSUM(Development,'Development Projects'!$I$3,C1:C3)+DSUM(Administration,'Administration Projects'!$K$3,C1:C3)+DSUM(Administration,'Administration Projects'!$L$3,C1:C3)+DSUM(Administration,'Administration Projects'!$M$3,C1:C3)+DSUM(Administration,'Administration Projects'!$N$3,C1:C3)+DSUM(Capital,'Capital Projects'!$G$3,C1:C3)+DSUM(Capital,'Capital Projects'!$I$3,C1:C3)+DSUM(Capital,'Capital Projects'!$H$3,C1:C3)</f>
        <v>424.99999999999994</v>
      </c>
      <c r="D18" s="12">
        <f>SUM('Shared &amp; Allocation'!$Q$29:$Q$31)+DSUM(Conservation,'Conservation Projects'!$H$3,D1:D3)+DSUM(Conservation,'Conservation Projects'!$I$3,D1:D3)+DSUM(Conservation,'Conservation Projects'!$K$3,D1:D3)+DSUM(Conservation,'Conservation Projects'!$J$3,D1:D3)+DSUM(Outreach,'Outreach Projects'!$F$3,D1:D3)+DSUM(Outreach,'Outreach Projects'!$G$3,D1:D3)+DSUM(Outreach,'Outreach Projects'!$H$3,D1:D3)+DSUM(Outreach,'Outreach Projects'!$I$3,D1:D3)+DSUM(Development,'Development Projects'!$G$3,D1:D3)+DSUM(Development,'Development Projects'!$H$3,D1:D3)+DSUM(Development,'Development Projects'!$J$3,D1:D3)+DSUM(Development,'Development Projects'!$I$3,D1:D3)+DSUM(Administration,'Administration Projects'!$K$3,D1:D3)+DSUM(Administration,'Administration Projects'!$L$3,D1:D3)+DSUM(Administration,'Administration Projects'!$M$3,D1:D3)+DSUM(Administration,'Administration Projects'!$N$3,D1:D3)+DSUM(Capital,'Capital Projects'!$G$3,D1:D3)+DSUM(Capital,'Capital Projects'!$I$3,D1:D3)+DSUM(Capital,'Capital Projects'!$H$3,D1:D3)</f>
        <v>424.99999999999994</v>
      </c>
      <c r="E18" s="12">
        <f>SUM('Shared &amp; Allocation'!$Q$29:$Q$31)+DSUM(Conservation,'Conservation Projects'!$H$3,E1:E3)+DSUM(Conservation,'Conservation Projects'!$I$3,E1:E3)+DSUM(Conservation,'Conservation Projects'!$K$3,E1:E3)+DSUM(Conservation,'Conservation Projects'!$J$3,E1:E3)+DSUM(Outreach,'Outreach Projects'!$F$3,E1:E3)+DSUM(Outreach,'Outreach Projects'!$G$3,E1:E3)+DSUM(Outreach,'Outreach Projects'!$H$3,E1:E3)+DSUM(Outreach,'Outreach Projects'!$I$3,E1:E3)+DSUM(Development,'Development Projects'!$G$3,E1:E3)+DSUM(Development,'Development Projects'!$H$3,E1:E3)+DSUM(Development,'Development Projects'!$J$3,E1:E3)+DSUM(Development,'Development Projects'!$I$3,E1:E3)+DSUM(Administration,'Administration Projects'!$K$3,E1:E3)+DSUM(Administration,'Administration Projects'!$L$3,E1:E3)+DSUM(Administration,'Administration Projects'!$M$3,E1:E3)+DSUM(Administration,'Administration Projects'!$N$3,E1:E3)+DSUM(Capital,'Capital Projects'!$G$3,E1:E3)+DSUM(Capital,'Capital Projects'!$I$3,E1:E3)+DSUM(Capital,'Capital Projects'!$H$3,E1:E3)</f>
        <v>424.99999999999994</v>
      </c>
      <c r="F18" s="12">
        <f>SUM('Shared &amp; Allocation'!$Q$29:$Q$31)+DSUM(Conservation,'Conservation Projects'!$H$3,F1:F3)+DSUM(Conservation,'Conservation Projects'!$I$3,F1:F3)+DSUM(Conservation,'Conservation Projects'!$K$3,F1:F3)+DSUM(Conservation,'Conservation Projects'!$J$3,F1:F3)+DSUM(Outreach,'Outreach Projects'!$F$3,F1:F3)+DSUM(Outreach,'Outreach Projects'!$G$3,F1:F3)+DSUM(Outreach,'Outreach Projects'!$H$3,F1:F3)+DSUM(Outreach,'Outreach Projects'!$I$3,F1:F3)+DSUM(Development,'Development Projects'!$G$3,F1:F3)+DSUM(Development,'Development Projects'!$H$3,F1:F3)+DSUM(Development,'Development Projects'!$J$3,F1:F3)+DSUM(Development,'Development Projects'!$I$3,F1:F3)+DSUM(Administration,'Administration Projects'!$K$3,F1:F3)+DSUM(Administration,'Administration Projects'!$L$3,F1:F3)+DSUM(Administration,'Administration Projects'!$M$3,F1:F3)+DSUM(Administration,'Administration Projects'!$N$3,F1:F3)+DSUM(Capital,'Capital Projects'!$G$3,F1:F3)+DSUM(Capital,'Capital Projects'!$I$3,F1:F3)+DSUM(Capital,'Capital Projects'!$H$3,F1:F3)</f>
        <v>424.99999999999994</v>
      </c>
      <c r="G18" s="12">
        <f>SUM('Shared &amp; Allocation'!$Q$29:$Q$31)+DSUM(Conservation,'Conservation Projects'!$H$3,G1:G3)+DSUM(Conservation,'Conservation Projects'!$I$3,G1:G3)+DSUM(Conservation,'Conservation Projects'!$K$3,G1:G3)+DSUM(Conservation,'Conservation Projects'!$J$3,G1:G3)+DSUM(Outreach,'Outreach Projects'!$F$3,G1:G3)+DSUM(Outreach,'Outreach Projects'!$G$3,G1:G3)+DSUM(Outreach,'Outreach Projects'!$H$3,G1:G3)+DSUM(Outreach,'Outreach Projects'!$I$3,G1:G3)+DSUM(Development,'Development Projects'!$G$3,G1:G3)+DSUM(Development,'Development Projects'!$H$3,G1:G3)+DSUM(Development,'Development Projects'!$J$3,G1:G3)+DSUM(Development,'Development Projects'!$I$3,G1:G3)+DSUM(Administration,'Administration Projects'!$K$3,G1:G3)+DSUM(Administration,'Administration Projects'!$L$3,G1:G3)+DSUM(Administration,'Administration Projects'!$M$3,G1:G3)+DSUM(Administration,'Administration Projects'!$N$3,G1:G3)+DSUM(Capital,'Capital Projects'!$G$3,G1:G3)+DSUM(Capital,'Capital Projects'!$I$3,G1:G3)+DSUM(Capital,'Capital Projects'!$H$3,G1:G3)</f>
        <v>424.99999999999994</v>
      </c>
      <c r="H18" s="12">
        <f>SUM('Shared &amp; Allocation'!$Q$29:$Q$31)+DSUM(Conservation,'Conservation Projects'!$H$3,H1:H3)+DSUM(Conservation,'Conservation Projects'!$I$3,H1:H3)+DSUM(Conservation,'Conservation Projects'!$K$3,H1:H3)+DSUM(Conservation,'Conservation Projects'!$J$3,H1:H3)+DSUM(Outreach,'Outreach Projects'!$F$3,H1:H3)+DSUM(Outreach,'Outreach Projects'!$G$3,H1:H3)+DSUM(Outreach,'Outreach Projects'!$H$3,H1:H3)+DSUM(Outreach,'Outreach Projects'!$I$3,H1:H3)+DSUM(Development,'Development Projects'!$G$3,H1:H3)+DSUM(Development,'Development Projects'!$H$3,H1:H3)+DSUM(Development,'Development Projects'!$J$3,H1:H3)+DSUM(Development,'Development Projects'!$I$3,H1:H3)+DSUM(Administration,'Administration Projects'!$K$3,H1:H3)+DSUM(Administration,'Administration Projects'!$L$3,H1:H3)+DSUM(Administration,'Administration Projects'!$M$3,H1:H3)+DSUM(Administration,'Administration Projects'!$N$3,H1:H3)+DSUM(Capital,'Capital Projects'!$G$3,H1:H3)+DSUM(Capital,'Capital Projects'!$I$3,H1:H3)+DSUM(Capital,'Capital Projects'!$H$3,H1:H3)</f>
        <v>424.99999999999994</v>
      </c>
      <c r="I18" s="12">
        <f>SUM('Shared &amp; Allocation'!$Q$29:$Q$31)+DSUM(Conservation,'Conservation Projects'!$H$3,I1:I3)+DSUM(Conservation,'Conservation Projects'!$I$3,I1:I3)+DSUM(Conservation,'Conservation Projects'!$K$3,I1:I3)+DSUM(Conservation,'Conservation Projects'!$J$3,I1:I3)+DSUM(Outreach,'Outreach Projects'!$F$3,I1:I3)+DSUM(Outreach,'Outreach Projects'!$G$3,I1:I3)+DSUM(Outreach,'Outreach Projects'!$H$3,I1:I3)+DSUM(Outreach,'Outreach Projects'!$I$3,I1:I3)+DSUM(Development,'Development Projects'!$G$3,I1:I3)+DSUM(Development,'Development Projects'!$H$3,I1:I3)+DSUM(Development,'Development Projects'!$J$3,I1:I3)+DSUM(Development,'Development Projects'!$I$3,I1:I3)+DSUM(Administration,'Administration Projects'!$K$3,I1:I3)+DSUM(Administration,'Administration Projects'!$L$3,I1:I3)+DSUM(Administration,'Administration Projects'!$M$3,I1:I3)+DSUM(Administration,'Administration Projects'!$N$3,I1:I3)+DSUM(Capital,'Capital Projects'!$G$3,I1:I3)+DSUM(Capital,'Capital Projects'!$I$3,I1:I3)+DSUM(Capital,'Capital Projects'!$H$3,I1:I3)</f>
        <v>775</v>
      </c>
      <c r="J18" s="12">
        <f>SUM('Shared &amp; Allocation'!$Q$29:$Q$31)+DSUM(Conservation,'Conservation Projects'!$H$3,J1:J3)+DSUM(Conservation,'Conservation Projects'!$I$3,J1:J3)+DSUM(Conservation,'Conservation Projects'!$K$3,J1:J3)+DSUM(Conservation,'Conservation Projects'!$J$3,J1:J3)+DSUM(Outreach,'Outreach Projects'!$F$3,J1:J3)+DSUM(Outreach,'Outreach Projects'!$G$3,J1:J3)+DSUM(Outreach,'Outreach Projects'!$H$3,J1:J3)+DSUM(Outreach,'Outreach Projects'!$I$3,J1:J3)+DSUM(Development,'Development Projects'!$G$3,J1:J3)+DSUM(Development,'Development Projects'!$H$3,J1:J3)+DSUM(Development,'Development Projects'!$J$3,J1:J3)+DSUM(Development,'Development Projects'!$I$3,J1:J3)+DSUM(Administration,'Administration Projects'!$K$3,J1:J3)+DSUM(Administration,'Administration Projects'!$L$3,J1:J3)+DSUM(Administration,'Administration Projects'!$M$3,J1:J3)+DSUM(Administration,'Administration Projects'!$N$3,J1:J3)+DSUM(Capital,'Capital Projects'!$G$3,J1:J3)+DSUM(Capital,'Capital Projects'!$I$3,J1:J3)+DSUM(Capital,'Capital Projects'!$H$3,J1:J3)</f>
        <v>424.99999999999994</v>
      </c>
      <c r="K18" s="12">
        <f>SUM('Shared &amp; Allocation'!$Q$29:$Q$31)+DSUM(Conservation,'Conservation Projects'!$H$3,K1:K3)+DSUM(Conservation,'Conservation Projects'!$I$3,K1:K3)+DSUM(Conservation,'Conservation Projects'!$K$3,K1:K3)+DSUM(Conservation,'Conservation Projects'!$J$3,K1:K3)+DSUM(Outreach,'Outreach Projects'!$F$3,K1:K3)+DSUM(Outreach,'Outreach Projects'!$G$3,K1:K3)+DSUM(Outreach,'Outreach Projects'!$H$3,K1:K3)+DSUM(Outreach,'Outreach Projects'!$I$3,K1:K3)+DSUM(Development,'Development Projects'!$G$3,K1:K3)+DSUM(Development,'Development Projects'!$H$3,K1:K3)+DSUM(Development,'Development Projects'!$J$3,K1:K3)+DSUM(Development,'Development Projects'!$I$3,K1:K3)+DSUM(Administration,'Administration Projects'!$K$3,K1:K3)+DSUM(Administration,'Administration Projects'!$L$3,K1:K3)+DSUM(Administration,'Administration Projects'!$M$3,K1:K3)+DSUM(Administration,'Administration Projects'!$N$3,K1:K3)+DSUM(Capital,'Capital Projects'!$G$3,K1:K3)+DSUM(Capital,'Capital Projects'!$I$3,K1:K3)+DSUM(Capital,'Capital Projects'!$H$3,K1:K3)</f>
        <v>424.99999999999994</v>
      </c>
      <c r="L18" s="12">
        <f>SUM('Shared &amp; Allocation'!$Q$29:$Q$31)+DSUM(Conservation,'Conservation Projects'!$H$3,L1:L3)+DSUM(Conservation,'Conservation Projects'!$I$3,L1:L3)+DSUM(Conservation,'Conservation Projects'!$K$3,L1:L3)+DSUM(Conservation,'Conservation Projects'!$J$3,L1:L3)+DSUM(Outreach,'Outreach Projects'!$F$3,L1:L3)+DSUM(Outreach,'Outreach Projects'!$G$3,L1:L3)+DSUM(Outreach,'Outreach Projects'!$H$3,L1:L3)+DSUM(Outreach,'Outreach Projects'!$I$3,L1:L3)+DSUM(Development,'Development Projects'!$G$3,L1:L3)+DSUM(Development,'Development Projects'!$H$3,L1:L3)+DSUM(Development,'Development Projects'!$J$3,L1:L3)+DSUM(Development,'Development Projects'!$I$3,L1:L3)+DSUM(Administration,'Administration Projects'!$K$3,L1:L3)+DSUM(Administration,'Administration Projects'!$L$3,L1:L3)+DSUM(Administration,'Administration Projects'!$M$3,L1:L3)+DSUM(Administration,'Administration Projects'!$N$3,L1:L3)+DSUM(Capital,'Capital Projects'!$G$3,L1:L3)+DSUM(Capital,'Capital Projects'!$I$3,L1:L3)+DSUM(Capital,'Capital Projects'!$H$3,L1:L3)</f>
        <v>424.99999999999994</v>
      </c>
      <c r="M18" s="12">
        <f>SUM('Shared &amp; Allocation'!$Q$29:$Q$31)+DSUM(Conservation,'Conservation Projects'!$H$3,M1:M3)+DSUM(Conservation,'Conservation Projects'!$I$3,M1:M3)+DSUM(Conservation,'Conservation Projects'!$K$3,M1:M3)+DSUM(Conservation,'Conservation Projects'!$J$3,M1:M3)+DSUM(Outreach,'Outreach Projects'!$F$3,M1:M3)+DSUM(Outreach,'Outreach Projects'!$G$3,M1:M3)+DSUM(Outreach,'Outreach Projects'!$H$3,M1:M3)+DSUM(Outreach,'Outreach Projects'!$I$3,M1:M3)+DSUM(Development,'Development Projects'!$G$3,M1:M3)+DSUM(Development,'Development Projects'!$H$3,M1:M3)+DSUM(Development,'Development Projects'!$J$3,M1:M3)+DSUM(Development,'Development Projects'!$I$3,M1:M3)+DSUM(Administration,'Administration Projects'!$K$3,M1:M3)+DSUM(Administration,'Administration Projects'!$L$3,M1:M3)+DSUM(Administration,'Administration Projects'!$M$3,M1:M3)+DSUM(Administration,'Administration Projects'!$N$3,M1:M3)+DSUM(Capital,'Capital Projects'!$G$3,M1:M3)+DSUM(Capital,'Capital Projects'!$I$3,M1:M3)+DSUM(Capital,'Capital Projects'!$H$3,M1:M3)</f>
        <v>1875</v>
      </c>
      <c r="N18" s="12">
        <f t="shared" si="1"/>
        <v>7300</v>
      </c>
      <c r="O18" s="12">
        <f>SUM('Shared &amp; Allocation'!E12:E14)+DSUM(Conservation,'Conservation Projects'!$H$3,$O$32:$O$34)+DSUM(Conservation,'Conservation Projects'!$I$3,$O$32:$O$34)+DSUM(Conservation,'Conservation Projects'!$K$3,$O$32:$O$34)+DSUM(Conservation,'Conservation Projects'!$J$3,$O$32:O34)+DSUM(Outreach,'Outreach Projects'!$F$3,O32:O34)+DSUM(Outreach,'Outreach Projects'!$G$3,O32:O34)+DSUM(Outreach,'Outreach Projects'!$H$3,O32:O34)+DSUM(Outreach,'Outreach Projects'!$I$3,O32:O34)+DSUM(Development,'Development Projects'!$G$3,O32:O34)+DSUM(Development,'Development Projects'!$H$3,O32:O34)+DSUM(Development,'Development Projects'!$J$3,O32:O34)+DSUM(Development,'Development Projects'!$I$3,O32:O34)+DSUM(Administration,'Administration Projects'!$K$3,O32:O34)+DSUM(Administration,'Administration Projects'!$L$3,O32:O34)+DSUM(Administration,'Administration Projects'!$N$3,O32:O34)+DSUM(Administration,'Administration Projects'!$M$3,O32:O34)+DSUM(Capital,'Capital Projects'!$G$3,O32:O34)+DSUM(Capital,'Capital Projects'!$I$3,O32:O34)+$S$18+O27</f>
        <v>5900</v>
      </c>
      <c r="P18" s="12">
        <f>SUM('Shared &amp; Allocation'!G12:G14)+DSUM(Conservation,'Conservation Projects'!$H$3,O36:O38)+DSUM(Conservation,'Conservation Projects'!$I$3,O36:O38)+DSUM(Conservation,'Conservation Projects'!$K$3,O36:O38)+DSUM(Conservation,'Conservation Projects'!$J$3,O36:O38)+DSUM(Outreach,'Outreach Projects'!$F$3,O36:O38)+DSUM(Outreach,'Outreach Projects'!$G$3,O36:O38)+DSUM(Outreach,'Outreach Projects'!$H$3,O36:O38)+DSUM(Outreach,'Outreach Projects'!$I$3,O36:O38)+DSUM(Development,'Development Projects'!$G$3,O36:O38)+DSUM(Development,'Development Projects'!$H$3,O36:O38)+DSUM(Development,'Development Projects'!$I$3,O36:O38)+DSUM(Development,'Development Projects'!$J$3,O36:O38)+DSUM(Administration,'Administration Projects'!$K$3,O36:O38)+DSUM(Administration,'Administration Projects'!$L$3,O36:O38)+DSUM(Administration,'Administration Projects'!$M$3,O36:O38)+DSUM(Administration,'Administration Projects'!$N$3,O36:O38)+DSUM(Capital,'Capital Projects'!$G$3,O36:O38)+DSUM(Capital,'Capital Projects'!$I$3,O36:O38)+S18+P27</f>
        <v>5700</v>
      </c>
      <c r="Q18" s="12">
        <f>SUM('Shared &amp; Allocation'!I12:I14)+DSUM(Conservation,'Conservation Projects'!$H$3,O40:O42)+DSUM(Conservation,'Conservation Projects'!$I$3,O40:O42)+DSUM(Conservation,'Conservation Projects'!$J$3,O40:O42)+DSUM(Conservation,'Conservation Projects'!$K$3,O40:O42)+DSUM(Outreach,'Outreach Projects'!$F$3,O40:O42)+DSUM(Outreach,'Outreach Projects'!$G$3,O40:O42)+DSUM(Outreach,'Outreach Projects'!$H$3,O40:O42)+DSUM(Outreach,'Outreach Projects'!$I$3,O40:O42)+DSUM(Development,'Development Projects'!$G$3,O40:O42)+DSUM(Development,'Development Projects'!$H$3,O40:O42)+DSUM(Development,'Development Projects'!$I$3,O40:O42)+DSUM(Development,'Development Projects'!$J$3,O40:O42)+DSUM(Administration,'Administration Projects'!$K$3,O40:O42)+DSUM(Administration,'Administration Projects'!$L$3,O40:O42)+DSUM(Administration,'Administration Projects'!$M$3,O40:O42)+DSUM(Administration,'Administration Projects'!$N$3,O40:O42)+DSUM(Capital,'Capital Projects'!$G$3,O40:O42)+DSUM(Capital,'Capital Projects'!$I$3,O40:O42)+S18+Q27</f>
        <v>5700</v>
      </c>
      <c r="R18" s="12">
        <f>SUM('Shared &amp; Allocation'!K12:K14)+DSUM(Conservation,'Conservation Projects'!$H$3,O44:O46)+DSUM(Conservation,'Conservation Projects'!$I$3,O44:O46)+DSUM(Conservation,'Conservation Projects'!$J$3,O44:O46)+DSUM(Conservation,'Conservation Projects'!$K$3,O44:O46)+DSUM(Outreach,'Outreach Projects'!$F$3,O44:O46)+DSUM(Outreach,'Outreach Projects'!$G$3,O44:O46)+DSUM(Outreach,'Outreach Projects'!$H$3,O44:O46)+DSUM(Outreach,'Outreach Projects'!$I$3,O44:O46)+DSUM(Development,'Development Projects'!$G$3,O44:O46)+DSUM(Development,'Development Projects'!$H$3,O44:O46)+DSUM(Development,'Development Projects'!$I$3,O44:O46)+DSUM(Development,'Development Projects'!$J$3,O44:O46)+DSUM(Administration,'Administration Projects'!$K$3,O44:O46)+DSUM(Administration,'Administration Projects'!$L$3,O44:O46)+DSUM(Administration,'Administration Projects'!$M$3,O44:O46)+DSUM(Administration,'Administration Projects'!$N$3,O44:O46)+DSUM(Capital,'Capital Projects'!$G$3,O44:O46)+DSUM(Capital,'Capital Projects'!$I$3,O44:O46)+S18+R27</f>
        <v>5700</v>
      </c>
      <c r="S18" s="267">
        <f>DSUM(Conservation,'Conservation Projects'!$H$3,P32:P33)*12+DSUM(Conservation,'Conservation Projects'!$I$3,P32:P33)*12+DSUM(Conservation,'Conservation Projects'!$K$3,P32:P33)*12+DSUM(Conservation,'Conservation Projects'!$J$3,P32:P33)*12+DSUM(Outreach,'Outreach Projects'!$F$3,P32:P33)*12+DSUM(Outreach,'Outreach Projects'!$G$3,P32:P33)*12+DSUM(Outreach,'Outreach Projects'!$H$3,P32:P33)*12+DSUM(Outreach,'Outreach Projects'!$I$3,P32:P33)*12+DSUM(Development,'Development Projects'!$G$3,P32:P33)*12+DSUM(Development,'Development Projects'!$H$3,P32:P33)*12+DSUM(Development,'Development Projects'!$I$3,P32:P33)*12+DSUM(Development,'Development Projects'!$J$3,P32:P33)*12+DSUM(Administration,'Administration Projects'!$K$3,P32:P33)*12+DSUM(Administration,'Administration Projects'!$L$3,P32:P33)*12+DSUM(Administration,'Administration Projects'!$M$3,P32:P33)*12+DSUM(Administration,'Administration Projects'!$N$3,P32:P33)*12+DSUM(Capital,'Capital Projects'!$G$3,P32:P33)*12+DSUM(Capital,'Capital Projects'!$I$3,P32:P33)*12+T18</f>
        <v>600</v>
      </c>
      <c r="T18" s="179">
        <f>DSUM(Capital,'Capital Projects'!H3,P32:P33)*12</f>
        <v>0</v>
      </c>
    </row>
    <row r="19" spans="1:20" ht="12.75">
      <c r="A19" s="2" t="str">
        <f>'Chart of Accounts'!$D$16</f>
        <v>Postage</v>
      </c>
      <c r="B19" s="12">
        <f>'Shared &amp; Allocation'!$Q$32+DSUM(Conservation,'Conservation Projects'!$L$3,B1:B3)+DSUM(Outreach,'Outreach Projects'!$J$3,B1:B3)+DSUM(Development,'Development Projects'!$K$3,B1:B3)+DSUM(Membership,Membership!$E$49,B1:B3)+DSUM(Administration,'Administration Projects'!$O$3,B1:B3)</f>
        <v>455</v>
      </c>
      <c r="C19" s="12">
        <f>'Shared &amp; Allocation'!$Q$32+DSUM(Conservation,'Conservation Projects'!$L$3,C1:C3)+DSUM(Outreach,'Outreach Projects'!$J$3,C1:C3)+DSUM(Development,'Development Projects'!$K$3,C1:C3)+DSUM(Membership,Membership!$E$49,C1:C3)+DSUM(Administration,'Administration Projects'!$O$3,C1:C3)</f>
        <v>585</v>
      </c>
      <c r="D19" s="12">
        <f>'Shared &amp; Allocation'!$Q$32+DSUM(Conservation,'Conservation Projects'!$L$3,D1:D3)+DSUM(Outreach,'Outreach Projects'!$J$3,D1:D3)+DSUM(Development,'Development Projects'!$K$3,D1:D3)+DSUM(Membership,Membership!$E$49,D1:D3)+DSUM(Administration,'Administration Projects'!$O$3,D1:D3)</f>
        <v>325</v>
      </c>
      <c r="E19" s="12">
        <f>'Shared &amp; Allocation'!$Q$32+DSUM(Conservation,'Conservation Projects'!$L$3,E1:E3)+DSUM(Outreach,'Outreach Projects'!$J$3,E1:E3)+DSUM(Development,'Development Projects'!$K$3,E1:E3)+DSUM(Membership,Membership!$E$49,E1:E3)+DSUM(Administration,'Administration Projects'!$O$3,E1:E3)</f>
        <v>325</v>
      </c>
      <c r="F19" s="12">
        <f>'Shared &amp; Allocation'!$Q$32+DSUM(Conservation,'Conservation Projects'!$L$3,F1:F3)+DSUM(Outreach,'Outreach Projects'!$J$3,F1:F3)+DSUM(Development,'Development Projects'!$K$3,F1:F3)+DSUM(Membership,Membership!$E$49,F1:F3)+DSUM(Administration,'Administration Projects'!$O$3,F1:F3)</f>
        <v>1625</v>
      </c>
      <c r="G19" s="12">
        <f>'Shared &amp; Allocation'!$Q$32+DSUM(Conservation,'Conservation Projects'!$L$3,G1:G3)+DSUM(Outreach,'Outreach Projects'!$J$3,G1:G3)+DSUM(Development,'Development Projects'!$K$3,G1:G3)+DSUM(Membership,Membership!$E$49,G1:G3)+DSUM(Administration,'Administration Projects'!$O$3,G1:G3)</f>
        <v>325</v>
      </c>
      <c r="H19" s="12">
        <f>'Shared &amp; Allocation'!$Q$32+DSUM(Conservation,'Conservation Projects'!$L$3,H1:H3)+DSUM(Outreach,'Outreach Projects'!$J$3,H1:H3)+DSUM(Development,'Development Projects'!$K$3,H1:H3)+DSUM(Membership,Membership!$E$49,H1:H3)+DSUM(Administration,'Administration Projects'!$O$3,H1:H3)</f>
        <v>1625</v>
      </c>
      <c r="I19" s="12">
        <f>'Shared &amp; Allocation'!$Q$32+DSUM(Conservation,'Conservation Projects'!$L$3,I1:I3)+DSUM(Outreach,'Outreach Projects'!$J$3,I1:I3)+DSUM(Development,'Development Projects'!$K$3,I1:I3)+DSUM(Membership,Membership!$E$49,I1:I3)+DSUM(Administration,'Administration Projects'!$O$3,I1:I3)</f>
        <v>325</v>
      </c>
      <c r="J19" s="12">
        <f>'Shared &amp; Allocation'!$Q$32+DSUM(Conservation,'Conservation Projects'!$L$3,J1:J3)+DSUM(Outreach,'Outreach Projects'!$J$3,J1:J3)+DSUM(Development,'Development Projects'!$K$3,J1:J3)+DSUM(Membership,Membership!$E$49,J1:J3)+DSUM(Administration,'Administration Projects'!$O$3,J1:J3)</f>
        <v>455</v>
      </c>
      <c r="K19" s="12">
        <f>'Shared &amp; Allocation'!$Q$32+DSUM(Conservation,'Conservation Projects'!$L$3,K1:K3)+DSUM(Outreach,'Outreach Projects'!$J$3,K1:K3)+DSUM(Development,'Development Projects'!$K$3,K1:K3)+DSUM(Membership,Membership!$E$49,K1:K3)+DSUM(Administration,'Administration Projects'!$O$3,K1:K3)</f>
        <v>325</v>
      </c>
      <c r="L19" s="12">
        <f>'Shared &amp; Allocation'!$Q$32+DSUM(Conservation,'Conservation Projects'!$L$3,L1:L3)+DSUM(Outreach,'Outreach Projects'!$J$3,L1:L3)+DSUM(Development,'Development Projects'!$K$3,L1:L3)+DSUM(Membership,Membership!$E$49,L1:L3)+DSUM(Administration,'Administration Projects'!$O$3,L1:L3)</f>
        <v>325</v>
      </c>
      <c r="M19" s="12">
        <f>'Shared &amp; Allocation'!$Q$32+DSUM(Conservation,'Conservation Projects'!$L$3,M1:M3)+DSUM(Outreach,'Outreach Projects'!$J$3,M1:M3)+DSUM(Development,'Development Projects'!$K$3,M1:M3)+DSUM(Membership,Membership!$E$49,M1:M3)+DSUM(Administration,'Administration Projects'!$O$3,M1:M3)</f>
        <v>1850</v>
      </c>
      <c r="N19" s="12">
        <f t="shared" si="1"/>
        <v>8545</v>
      </c>
      <c r="O19" s="12">
        <f>'Shared &amp; Allocation'!E15+DSUM(Conservation,'Conservation Projects'!$L$3,O32:O34)+DSUM(Outreach,'Outreach Projects'!$J$3,O32:O34)+DSUM(Development,'Development Projects'!$K$3,O32:O34)+DSUM(Conservation,'Conservation Projects'!$L$3,P32:P33)*12+DSUM(Outreach,'Outreach Projects'!$J$3,P32:P33)*12+DSUM(Development,'Development Projects'!$K$3,P32:P33)*12+(((Membership!C4*Membership!C6)*Membership!C15)+((Membership!C18*Membership!C20)*Membership!C29)+((Membership!C32*Membership!C34)*Membership!C43))+DSUM(Administration,'Administration Projects'!O3,O32:O34)+DSUM(Administration,'Administration Projects'!$O$3,P32:P33)*12</f>
        <v>8333</v>
      </c>
      <c r="P19" s="12">
        <f>'Shared &amp; Allocation'!G15+DSUM(Conservation,'Conservation Projects'!$L$3,O36:O38)+DSUM(Outreach,'Outreach Projects'!$J$3,O36:O38)+DSUM(Development,'Development Projects'!$K$3,O36:O38)+DSUM(Conservation,'Conservation Projects'!$L$3,P32:P33)*12+DSUM(Outreach,'Outreach Projects'!$J$3,P32:P33)*12+DSUM(Development,'Development Projects'!$K$3,P32:P33)*12+(((Membership!D4*Membership!D6)*Membership!D15)+((Membership!D18*Membership!D20)*Membership!D29)+((Membership!D32*Membership!D34)*Membership!D43))+DSUM(Administration,'Administration Projects'!O3,O36:O38)+DSUM(Administration,'Administration Projects'!O3,P32:P33)*12</f>
        <v>8642.75</v>
      </c>
      <c r="Q19" s="12">
        <f>'Shared &amp; Allocation'!I15+DSUM(Conservation,'Conservation Projects'!$L$3,O40:O42)+DSUM(Outreach,'Outreach Projects'!$J$3,O40:O42)+DSUM(Development,'Development Projects'!$K$3,O40:O42)+DSUM(Conservation,'Conservation Projects'!$L$3,P32:P33)*12+DSUM(Outreach,'Outreach Projects'!$J$3,P32:P33)*12+DSUM(Development,'Development Projects'!$K$3,P32:P33)*12+(((Membership!E4*Membership!E6)*Membership!E15)+((Membership!E18*Membership!E20)*Membership!E29)+((Membership!E32*Membership!E34)*Membership!E43))+DSUM(Administration,'Administration Projects'!O3,O40:O42)+DSUM(Administration,'Administration Projects'!O3,P32:P33)*12</f>
        <v>8950.0625</v>
      </c>
      <c r="R19" s="12">
        <f>'Shared &amp; Allocation'!K15+DSUM(Conservation,'Conservation Projects'!$L$3,O44:O46)+DSUM(Outreach,'Outreach Projects'!$J$3,O44:O46)+DSUM(Development,'Development Projects'!$K$3,O44:O46)+DSUM(Conservation,'Conservation Projects'!$L$3,P32:P33)*12+DSUM(Outreach,'Outreach Projects'!$J$3,P32:P33)*12+DSUM(Development,'Development Projects'!$K$3,P32:P33)*12+(((Membership!F4*Membership!F6)*Membership!F15)+((Membership!F18*Membership!F20)*Membership!F29)+((Membership!F32*Membership!F34)*Membership!F43))+DSUM(Administration,'Administration Projects'!O3,O44:O46)+DSUM(Administration,'Administration Projects'!O3,P32:P33)*12</f>
        <v>9385.546875</v>
      </c>
      <c r="S19" s="179"/>
      <c r="T19" s="179"/>
    </row>
    <row r="20" spans="1:20" ht="12.75">
      <c r="A20" s="2" t="str">
        <f>'Chart of Accounts'!$D$18</f>
        <v>Travel</v>
      </c>
      <c r="B20" s="12">
        <f>DSUM(Conservation,'Conservation Projects'!$M$3,B1:B3)+DSUM(Outreach,'Outreach Projects'!$K$3,B1:B3)+DSUM(Development,'Development Projects'!$L$3,B1:B3)+DSUM(Administration,'Administration Projects'!$P$3,B1:B3)+DSUM(Capital,'Capital Projects'!$J$3,B1:B3)</f>
        <v>0</v>
      </c>
      <c r="C20" s="12">
        <f>DSUM(Conservation,'Conservation Projects'!$M$3,C1:C3)+DSUM(Outreach,'Outreach Projects'!$K$3,C1:C3)+DSUM(Development,'Development Projects'!$L$3,C1:C3)+DSUM(Administration,'Administration Projects'!$P$3,C1:C3)+DSUM(Capital,'Capital Projects'!$J$3,C1:C3)</f>
        <v>0</v>
      </c>
      <c r="D20" s="12">
        <f>DSUM(Conservation,'Conservation Projects'!$M$3,D1:D3)+DSUM(Outreach,'Outreach Projects'!$K$3,D1:D3)+DSUM(Development,'Development Projects'!$L$3,D1:D3)+DSUM(Administration,'Administration Projects'!$P$3,D1:D3)+DSUM(Capital,'Capital Projects'!$J$3,D1:D3)</f>
        <v>0</v>
      </c>
      <c r="E20" s="12">
        <f>DSUM(Conservation,'Conservation Projects'!$M$3,E1:E3)+DSUM(Outreach,'Outreach Projects'!$K$3,E1:E3)+DSUM(Development,'Development Projects'!$L$3,E1:E3)+DSUM(Administration,'Administration Projects'!$P$3,E1:E3)+DSUM(Capital,'Capital Projects'!$J$3,E1:E3)</f>
        <v>0</v>
      </c>
      <c r="F20" s="12">
        <f>DSUM(Conservation,'Conservation Projects'!$M$3,F1:F3)+DSUM(Outreach,'Outreach Projects'!$K$3,F1:F3)+DSUM(Development,'Development Projects'!$L$3,F1:F3)+DSUM(Administration,'Administration Projects'!$P$3,F1:F3)+DSUM(Capital,'Capital Projects'!$J$3,F1:F3)</f>
        <v>0</v>
      </c>
      <c r="G20" s="12">
        <f>DSUM(Conservation,'Conservation Projects'!$M$3,G1:G3)+DSUM(Outreach,'Outreach Projects'!$K$3,G1:G3)+DSUM(Development,'Development Projects'!$L$3,G1:G3)+DSUM(Administration,'Administration Projects'!$P$3,G1:G3)+DSUM(Capital,'Capital Projects'!$J$3,G1:G3)</f>
        <v>0</v>
      </c>
      <c r="H20" s="12">
        <f>DSUM(Conservation,'Conservation Projects'!$M$3,H1:H3)+DSUM(Outreach,'Outreach Projects'!$K$3,H1:H3)+DSUM(Development,'Development Projects'!$L$3,H1:H3)+DSUM(Administration,'Administration Projects'!$P$3,H1:H3)+DSUM(Capital,'Capital Projects'!$J$3,H1:H3)</f>
        <v>0</v>
      </c>
      <c r="I20" s="12">
        <f>DSUM(Conservation,'Conservation Projects'!$M$3,I1:I3)+DSUM(Outreach,'Outreach Projects'!$K$3,I1:I3)+DSUM(Development,'Development Projects'!$L$3,I1:I3)+DSUM(Administration,'Administration Projects'!$P$3,I1:I3)+DSUM(Capital,'Capital Projects'!$J$3,I1:I3)</f>
        <v>0</v>
      </c>
      <c r="J20" s="12">
        <f>DSUM(Conservation,'Conservation Projects'!$M$3,J1:J3)+DSUM(Outreach,'Outreach Projects'!$K$3,J1:J3)+DSUM(Development,'Development Projects'!$L$3,J1:J3)+DSUM(Administration,'Administration Projects'!$P$3,J1:J3)+DSUM(Capital,'Capital Projects'!$J$3,J1:J3)</f>
        <v>0</v>
      </c>
      <c r="K20" s="12">
        <f>DSUM(Conservation,'Conservation Projects'!$M$3,K1:K3)+DSUM(Outreach,'Outreach Projects'!$K$3,K1:K3)+DSUM(Development,'Development Projects'!$L$3,K1:K3)+DSUM(Administration,'Administration Projects'!$P$3,K1:K3)+DSUM(Capital,'Capital Projects'!$J$3,K1:K3)</f>
        <v>0</v>
      </c>
      <c r="L20" s="12">
        <f>DSUM(Conservation,'Conservation Projects'!$M$3,L1:L3)+DSUM(Outreach,'Outreach Projects'!$K$3,L1:L3)+DSUM(Development,'Development Projects'!$L$3,L1:L3)+DSUM(Administration,'Administration Projects'!$P$3,L1:L3)+DSUM(Capital,'Capital Projects'!$J$3,L1:L3)</f>
        <v>0</v>
      </c>
      <c r="M20" s="12">
        <f>DSUM(Conservation,'Conservation Projects'!$M$3,M1:M3)+DSUM(Outreach,'Outreach Projects'!$K$3,M1:M3)+DSUM(Development,'Development Projects'!$L$3,M1:M3)+DSUM(Administration,'Administration Projects'!$P$3,M1:M3)+DSUM(Capital,'Capital Projects'!$J$3,M1:M3)</f>
        <v>0</v>
      </c>
      <c r="N20" s="12">
        <f t="shared" si="1"/>
        <v>0</v>
      </c>
      <c r="O20" s="12">
        <f>DSUM(Conservation,'Conservation Projects'!$M$3,O32:O34)+DSUM(Outreach,'Outreach Projects'!$K$3,O32:O34)+DSUM(Development,'Development Projects'!$L$3,O32:O34)+DSUM(Administration,'Administration Projects'!$P$3,O32:O34)+DSUM(Capital,'Capital Projects'!$J$3,O32:O34)+DSUM(Conservation,'Conservation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0</v>
      </c>
      <c r="P20" s="12">
        <f>DSUM(Conservation,'Conservation Projects'!$M$3,O36:O38)+DSUM(Outreach,'Outreach Projects'!$K$3,O36:O38)+DSUM(Development,'Development Projects'!$L$3,O36:O38)+DSUM(Administration,'Administration Projects'!$P$3,O36:O38)+DSUM(Capital,'Capital Projects'!$J$3,O36:O38)+DSUM(Conservation,'Conservation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0</v>
      </c>
      <c r="Q20" s="12">
        <f>DSUM(Conservation,'Conservation Projects'!$M$3,O40:O42)+DSUM(Outreach,'Outreach Projects'!$K$3,O40:O42)+DSUM(Development,'Development Projects'!$L$3,O40:O42)+DSUM(Administration,'Administration Projects'!$P$3,O40:O42)+DSUM(Capital,'Capital Projects'!$J$3,O40:O42)+DSUM(Conservation,'Conservation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2500</v>
      </c>
      <c r="R20" s="12">
        <f>DSUM(Conservation,'Conservation Projects'!$M$3,O44:O46)+DSUM(Outreach,'Outreach Projects'!$K$3,O44:O46)+DSUM(Development,'Development Projects'!$L$3,O44:O46)+DSUM(Administration,'Administration Projects'!$P$3,O44:O46)+DSUM(Capital,'Capital Projects'!$J$3,O44:O46)+DSUM(Conservation,'Conservation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0</v>
      </c>
      <c r="S20" s="179"/>
      <c r="T20" s="179"/>
    </row>
    <row r="21" spans="1:20" ht="13.5" thickBot="1">
      <c r="A21" s="2" t="str">
        <f>'Chart of Accounts'!$D$20</f>
        <v>Project Expenses</v>
      </c>
      <c r="B21" s="13">
        <f>'Shared &amp; Allocation'!$Q$33+DSUM(Conservation,'Conservation Projects'!$N$3,B1:B3)+DSUM(Conservation,'Conservation Projects'!$O$3,B1:B3)+DSUM(Conservation,'Conservation Projects'!$P$3,B1:B3)+DSUM(Outreach,'Outreach Projects'!$L$3,B1:B3)+DSUM(Outreach,'Outreach Projects'!$M$3,B1:B3)+DSUM(Outreach,'Outreach Projects'!$N$3,B1:B3)+DSUM(Development,'Development Projects'!$M$3,B1:B3)+DSUM(Development,'Development Projects'!$N$3,B1:B3)+DSUM(Administration,'Administration Projects'!$Q$3,B1:B3)+DSUM(Administration,'Administration Projects'!$R$3,B1:B3)+DSUM(Capital,'Capital Projects'!$K$3,B1:B3)+DSUM(Membership,Membership!$F$49,B1:B3)</f>
        <v>450</v>
      </c>
      <c r="C21" s="13">
        <f>'Shared &amp; Allocation'!$Q$33+DSUM(Conservation,'Conservation Projects'!$N$3,C1:C3)+DSUM(Conservation,'Conservation Projects'!$O$3,C1:C3)+DSUM(Conservation,'Conservation Projects'!$P$3,C1:C3)+DSUM(Outreach,'Outreach Projects'!$L$3,C1:C3)+DSUM(Outreach,'Outreach Projects'!$M$3,C1:C3)+DSUM(Outreach,'Outreach Projects'!$N$3,C1:C3)+DSUM(Development,'Development Projects'!$M$3,C1:C3)+DSUM(Development,'Development Projects'!$N$3,C1:C3)+DSUM(Administration,'Administration Projects'!$Q$3,C1:C3)+DSUM(Administration,'Administration Projects'!$R$3,C1:C3)+DSUM(Capital,'Capital Projects'!$K$3,C1:C3)+DSUM(Membership,Membership!$F$49,C1:C3)</f>
        <v>650</v>
      </c>
      <c r="D21" s="13">
        <f>'Shared &amp; Allocation'!$Q$33+DSUM(Conservation,'Conservation Projects'!$N$3,D1:D3)+DSUM(Conservation,'Conservation Projects'!$O$3,D1:D3)+DSUM(Conservation,'Conservation Projects'!$P$3,D1:D3)+DSUM(Outreach,'Outreach Projects'!$L$3,D1:D3)+DSUM(Outreach,'Outreach Projects'!$M$3,D1:D3)+DSUM(Outreach,'Outreach Projects'!$N$3,D1:D3)+DSUM(Development,'Development Projects'!$M$3,D1:D3)+DSUM(Development,'Development Projects'!$N$3,D1:D3)+DSUM(Administration,'Administration Projects'!$Q$3,D1:D3)+DSUM(Administration,'Administration Projects'!$R$3,D1:D3)+DSUM(Capital,'Capital Projects'!$K$3,D1:D3)+DSUM(Membership,Membership!$F$49,D1:D3)</f>
        <v>250.00000000000003</v>
      </c>
      <c r="E21" s="13">
        <f>'Shared &amp; Allocation'!$Q$33+DSUM(Conservation,'Conservation Projects'!$N$3,E1:E3)+DSUM(Conservation,'Conservation Projects'!$O$3,E1:E3)+DSUM(Conservation,'Conservation Projects'!$P$3,E1:E3)+DSUM(Outreach,'Outreach Projects'!$L$3,E1:E3)+DSUM(Outreach,'Outreach Projects'!$M$3,E1:E3)+DSUM(Outreach,'Outreach Projects'!$N$3,E1:E3)+DSUM(Development,'Development Projects'!$M$3,E1:E3)+DSUM(Development,'Development Projects'!$N$3,E1:E3)+DSUM(Administration,'Administration Projects'!$Q$3,E1:E3)+DSUM(Administration,'Administration Projects'!$R$3,E1:E3)+DSUM(Capital,'Capital Projects'!$K$3,E1:E3)+DSUM(Membership,Membership!$F$49,E1:E3)</f>
        <v>250.00000000000003</v>
      </c>
      <c r="F21" s="13">
        <f>'Shared &amp; Allocation'!$Q$33+DSUM(Conservation,'Conservation Projects'!$N$3,F1:F3)+DSUM(Conservation,'Conservation Projects'!$O$3,F1:F3)+DSUM(Conservation,'Conservation Projects'!$P$3,F1:F3)+DSUM(Outreach,'Outreach Projects'!$L$3,F1:F3)+DSUM(Outreach,'Outreach Projects'!$M$3,F1:F3)+DSUM(Outreach,'Outreach Projects'!$N$3,F1:F3)+DSUM(Development,'Development Projects'!$M$3,F1:F3)+DSUM(Development,'Development Projects'!$N$3,F1:F3)+DSUM(Administration,'Administration Projects'!$Q$3,F1:F3)+DSUM(Administration,'Administration Projects'!$R$3,F1:F3)+DSUM(Capital,'Capital Projects'!$K$3,F1:F3)+DSUM(Membership,Membership!$F$49,F1:F3)</f>
        <v>2250</v>
      </c>
      <c r="G21" s="13">
        <f>'Shared &amp; Allocation'!$Q$33+DSUM(Conservation,'Conservation Projects'!$N$3,G1:G3)+DSUM(Conservation,'Conservation Projects'!$O$3,G1:G3)+DSUM(Conservation,'Conservation Projects'!$P$3,G1:G3)+DSUM(Outreach,'Outreach Projects'!$L$3,G1:G3)+DSUM(Outreach,'Outreach Projects'!$M$3,G1:G3)+DSUM(Outreach,'Outreach Projects'!$N$3,G1:G3)+DSUM(Development,'Development Projects'!$M$3,G1:G3)+DSUM(Development,'Development Projects'!$N$3,G1:G3)+DSUM(Administration,'Administration Projects'!$Q$3,G1:G3)+DSUM(Administration,'Administration Projects'!$R$3,G1:G3)+DSUM(Capital,'Capital Projects'!$K$3,G1:G3)+DSUM(Membership,Membership!$F$49,G1:G3)</f>
        <v>250.00000000000003</v>
      </c>
      <c r="H21" s="13">
        <f>'Shared &amp; Allocation'!$Q$33+DSUM(Conservation,'Conservation Projects'!$N$3,H1:H3)+DSUM(Conservation,'Conservation Projects'!$O$3,H1:H3)+DSUM(Conservation,'Conservation Projects'!$P$3,H1:H3)+DSUM(Outreach,'Outreach Projects'!$L$3,H1:H3)+DSUM(Outreach,'Outreach Projects'!$M$3,H1:H3)+DSUM(Outreach,'Outreach Projects'!$N$3,H1:H3)+DSUM(Development,'Development Projects'!$M$3,H1:H3)+DSUM(Development,'Development Projects'!$N$3,H1:H3)+DSUM(Administration,'Administration Projects'!$Q$3,H1:H3)+DSUM(Administration,'Administration Projects'!$R$3,H1:H3)+DSUM(Capital,'Capital Projects'!$K$3,H1:H3)+DSUM(Membership,Membership!$F$49,H1:H3)</f>
        <v>2250</v>
      </c>
      <c r="I21" s="13">
        <f>'Shared &amp; Allocation'!$Q$33+DSUM(Conservation,'Conservation Projects'!$N$3,I1:I3)+DSUM(Conservation,'Conservation Projects'!$O$3,I1:I3)+DSUM(Conservation,'Conservation Projects'!$P$3,I1:I3)+DSUM(Outreach,'Outreach Projects'!$L$3,I1:I3)+DSUM(Outreach,'Outreach Projects'!$M$3,I1:I3)+DSUM(Outreach,'Outreach Projects'!$N$3,I1:I3)+DSUM(Development,'Development Projects'!$M$3,I1:I3)+DSUM(Development,'Development Projects'!$N$3,I1:I3)+DSUM(Administration,'Administration Projects'!$Q$3,I1:I3)+DSUM(Administration,'Administration Projects'!$R$3,I1:I3)+DSUM(Capital,'Capital Projects'!$K$3,I1:I3)+DSUM(Membership,Membership!$F$49,I1:I3)</f>
        <v>250.00000000000003</v>
      </c>
      <c r="J21" s="13">
        <f>'Shared &amp; Allocation'!$Q$33+DSUM(Conservation,'Conservation Projects'!$N$3,J1:J3)+DSUM(Conservation,'Conservation Projects'!$O$3,J1:J3)+DSUM(Conservation,'Conservation Projects'!$P$3,J1:J3)+DSUM(Outreach,'Outreach Projects'!$L$3,J1:J3)+DSUM(Outreach,'Outreach Projects'!$M$3,J1:J3)+DSUM(Outreach,'Outreach Projects'!$N$3,J1:J3)+DSUM(Development,'Development Projects'!$M$3,J1:J3)+DSUM(Development,'Development Projects'!$N$3,J1:J3)+DSUM(Administration,'Administration Projects'!$Q$3,J1:J3)+DSUM(Administration,'Administration Projects'!$R$3,J1:J3)+DSUM(Capital,'Capital Projects'!$K$3,J1:J3)+DSUM(Membership,Membership!$F$49,J1:J3)</f>
        <v>450</v>
      </c>
      <c r="K21" s="13">
        <f>'Shared &amp; Allocation'!$Q$33+DSUM(Conservation,'Conservation Projects'!$N$3,K1:K3)+DSUM(Conservation,'Conservation Projects'!$O$3,K1:K3)+DSUM(Conservation,'Conservation Projects'!$P$3,K1:K3)+DSUM(Outreach,'Outreach Projects'!$L$3,K1:K3)+DSUM(Outreach,'Outreach Projects'!$M$3,K1:K3)+DSUM(Outreach,'Outreach Projects'!$N$3,K1:K3)+DSUM(Development,'Development Projects'!$M$3,K1:K3)+DSUM(Development,'Development Projects'!$N$3,K1:K3)+DSUM(Administration,'Administration Projects'!$Q$3,K1:K3)+DSUM(Administration,'Administration Projects'!$R$3,K1:K3)+DSUM(Capital,'Capital Projects'!$K$3,K1:K3)+DSUM(Membership,Membership!$F$49,K1:K3)</f>
        <v>250.00000000000003</v>
      </c>
      <c r="L21" s="13">
        <f>'Shared &amp; Allocation'!$Q$33+DSUM(Conservation,'Conservation Projects'!$N$3,L1:L3)+DSUM(Conservation,'Conservation Projects'!$O$3,L1:L3)+DSUM(Conservation,'Conservation Projects'!$P$3,L1:L3)+DSUM(Outreach,'Outreach Projects'!$L$3,L1:L3)+DSUM(Outreach,'Outreach Projects'!$M$3,L1:L3)+DSUM(Outreach,'Outreach Projects'!$N$3,L1:L3)+DSUM(Development,'Development Projects'!$M$3,L1:L3)+DSUM(Development,'Development Projects'!$N$3,L1:L3)+DSUM(Administration,'Administration Projects'!$Q$3,L1:L3)+DSUM(Administration,'Administration Projects'!$R$3,L1:L3)+DSUM(Capital,'Capital Projects'!$K$3,L1:L3)+DSUM(Membership,Membership!$F$49,L1:L3)</f>
        <v>250.00000000000003</v>
      </c>
      <c r="M21" s="13">
        <f>'Shared &amp; Allocation'!$Q$33+DSUM(Conservation,'Conservation Projects'!$N$3,M1:M3)+DSUM(Conservation,'Conservation Projects'!$O$3,M1:M3)+DSUM(Conservation,'Conservation Projects'!$P$3,M1:M3)+DSUM(Outreach,'Outreach Projects'!$L$3,M1:M3)+DSUM(Outreach,'Outreach Projects'!$M$3,M1:M3)+DSUM(Outreach,'Outreach Projects'!$N$3,M1:M3)+DSUM(Development,'Development Projects'!$M$3,M1:M3)+DSUM(Development,'Development Projects'!$N$3,M1:M3)+DSUM(Administration,'Administration Projects'!$Q$3,M1:M3)+DSUM(Administration,'Administration Projects'!$R$3,M1:M3)+DSUM(Capital,'Capital Projects'!$K$3,M1:M3)+DSUM(Membership,Membership!$F$49,M1:M3)</f>
        <v>2600</v>
      </c>
      <c r="N21" s="13">
        <f t="shared" si="1"/>
        <v>10150</v>
      </c>
      <c r="O21" s="13">
        <f>'Shared &amp; Allocation'!E16+DSUM(Conservation,'Conservation Projects'!$N$3,O32:O34)+DSUM(Conservation,'Conservation Projects'!$O$3,O32:O34)+DSUM(Conservation,'Conservation Projects'!$P$3,O32:O34)+DSUM(Outreach,'Outreach Projects'!$L$3,O32:O34)+DSUM(Outreach,'Outreach Projects'!$M$3,O32:O34)+DSUM(Outreach,'Outreach Projects'!$N$3,O32:O34)+DSUM(Development,'Development Projects'!$M$3,O32:O34)+DSUM(Development,'Development Projects'!$N$3,O32:O34)+DSUM(Administration,'Administration Projects'!$Q$3,O32:O34)+DSUM(Administration,'Administration Projects'!$R$3,O32:O34)+DSUM(Capital,'Capital Projects'!$K$3,O32:O34)+(((Membership!C4*Membership!C5)*Membership!C15)+((Membership!C18*Membership!C19)*Membership!C29)+((Membership!C32*Membership!C33)*Membership!C43))+S21</f>
        <v>10120</v>
      </c>
      <c r="P21" s="13">
        <f>'Shared &amp; Allocation'!G16+DSUM(Conservation,'Conservation Projects'!$N$3,O36:O38)+DSUM(Conservation,'Conservation Projects'!$O$3,O36:O38)+DSUM(Conservation,'Conservation Projects'!$P$3,O36:O38)+DSUM(Outreach,'Outreach Projects'!$L$3,O36:O38)+DSUM(Outreach,'Outreach Projects'!$M$3,O36:O38)+DSUM(Outreach,'Outreach Projects'!$N$3,O36:O38)+DSUM(Development,'Development Projects'!$M$3,O36:O38)+DSUM(Development,'Development Projects'!$N$3,O36:O38)+DSUM(Administration,'Administration Projects'!$Q$3,O36:O38)+DSUM(Administration,'Administration Projects'!$R$3,O36:O38)+DSUM(Capital,'Capital Projects'!$K$3,O36:O38)+(((Membership!D4*Membership!D5)*Membership!D15)+((Membership!D18*Membership!D19)*Membership!D29)+((Membership!D32*Membership!D33)*Membership!D43))+S21</f>
        <v>65135</v>
      </c>
      <c r="Q21" s="13">
        <f>'Shared &amp; Allocation'!I16+DSUM(Conservation,'Conservation Projects'!$N$3,O40:O42)+DSUM(Conservation,'Conservation Projects'!$O$3,O40:O42)+DSUM(Conservation,'Conservation Projects'!$P$3,O40:O42)+DSUM(Outreach,'Outreach Projects'!$L$3,O40:O42)+DSUM(Outreach,'Outreach Projects'!$M$3,O40:O42)+DSUM(Outreach,'Outreach Projects'!$N$3,O40:O42)+DSUM(Development,'Development Projects'!$M$3,O40:O42)+DSUM(Development,'Development Projects'!$N$3,O40:O42)+DSUM(Administration,'Administration Projects'!$Q$3,O40:O42)+DSUM(Administration,'Administration Projects'!$R$3,O40:O42)+DSUM(Capital,'Capital Projects'!$K$3,O40:O42)+(((Membership!E4*Membership!E5)*Membership!E15)+((Membership!E18*Membership!E19)*Membership!E29)+((Membership!E32*Membership!E33)*Membership!E43))+S21</f>
        <v>10146.25</v>
      </c>
      <c r="R21" s="13">
        <f>'Shared &amp; Allocation'!K16+DSUM(Conservation,'Conservation Projects'!$N$3,O44:O46)+DSUM(Conservation,'Conservation Projects'!$O$3,O44:O46)+DSUM(Conservation,'Conservation Projects'!$P$3,O44:O46)+DSUM(Outreach,'Outreach Projects'!$L$3,O44:O46)+DSUM(Outreach,'Outreach Projects'!$M$3,O44:O46)+DSUM(Outreach,'Outreach Projects'!$N$3,O44:O46)+DSUM(Development,'Development Projects'!$M$3,O44:O46)+DSUM(Development,'Development Projects'!$N$3,O44:O46)+DSUM(Administration,'Administration Projects'!$Q$3,O44:O46)+DSUM(Administration,'Administration Projects'!$R$3,O44:O46)+DSUM(Capital,'Capital Projects'!$K$3,O44:O46)+(((Membership!F4*Membership!F5)*Membership!F15)+((Membership!F18*Membership!F19)*Membership!F29)+((Membership!F32*Membership!F33)*Membership!F43))+S21</f>
        <v>10354.6875</v>
      </c>
      <c r="S21" s="268">
        <f>DSUM(Conservation,'Conservation Projects'!$N$3,P32:P33)*12+DSUM(Conservation,'Conservation Projects'!$O$3,P32:P33)*12+DSUM(Conservation,'Conservation Projects'!$P$3,P32:P33)*12+DSUM(Outreach,'Outreach Projects'!$L$3,P32:P33)*12+DSUM(Outreach,'Outreach Projects'!$M$3,P32:P33)*12+DSUM(Outreach,'Outreach Projects'!$N$3,P32:P33)*12+DSUM(Development,'Development Projects'!$M$3,P32:P33)*12+DSUM(Development,'Development Projects'!$N$3,P32:P33)*12+DSUM(Administration,'Administration Projects'!$Q$3,P32:P33)*12+DSUM(Administration,'Administration Projects'!$R$3,P32:P33)*12+DSUM(Capital,'Capital Projects'!$K$3,P32:P33)*12</f>
        <v>2400</v>
      </c>
      <c r="T21" s="179"/>
    </row>
    <row r="22" spans="1:20" ht="15">
      <c r="A22" s="4" t="s">
        <v>44</v>
      </c>
      <c r="B22" s="224">
        <f>SUM(B13:B21)</f>
        <v>35972.00375</v>
      </c>
      <c r="C22" s="224">
        <f aca="true" t="shared" si="2" ref="C22:N22">SUM(C13:C21)</f>
        <v>30502.00375</v>
      </c>
      <c r="D22" s="224">
        <f t="shared" si="2"/>
        <v>29642.00375</v>
      </c>
      <c r="E22" s="224">
        <f t="shared" si="2"/>
        <v>29642.00375</v>
      </c>
      <c r="F22" s="224">
        <f t="shared" si="2"/>
        <v>35192.00375</v>
      </c>
      <c r="G22" s="224">
        <f t="shared" si="2"/>
        <v>31642.00375</v>
      </c>
      <c r="H22" s="224">
        <f t="shared" si="2"/>
        <v>34942.00375</v>
      </c>
      <c r="I22" s="224">
        <f t="shared" si="2"/>
        <v>29992.00375</v>
      </c>
      <c r="J22" s="224">
        <f t="shared" si="2"/>
        <v>30272.00375</v>
      </c>
      <c r="K22" s="224">
        <f t="shared" si="2"/>
        <v>29642.00375</v>
      </c>
      <c r="L22" s="224">
        <f t="shared" si="2"/>
        <v>29642.00375</v>
      </c>
      <c r="M22" s="224">
        <f t="shared" si="2"/>
        <v>39767.00375</v>
      </c>
      <c r="N22" s="224">
        <f t="shared" si="2"/>
        <v>386849.0449999999</v>
      </c>
      <c r="O22" s="224">
        <f>SUM(O13:O21)</f>
        <v>409585.84837499994</v>
      </c>
      <c r="P22" s="224">
        <f>SUM(P13:P21)</f>
        <v>464160.1995</v>
      </c>
      <c r="Q22" s="224">
        <f>SUM(Q13:Q21)</f>
        <v>415258.60245</v>
      </c>
      <c r="R22" s="224">
        <f>SUM(R13:R21)</f>
        <v>416982.364775</v>
      </c>
      <c r="S22" s="179"/>
      <c r="T22" s="179"/>
    </row>
    <row r="23" spans="2:18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4" t="s">
        <v>45</v>
      </c>
      <c r="B24" s="223">
        <f>B10-B22</f>
        <v>38122.16291666667</v>
      </c>
      <c r="C24" s="223">
        <f aca="true" t="shared" si="3" ref="C24:N24">C10-C22</f>
        <v>51117.57769194445</v>
      </c>
      <c r="D24" s="223">
        <f t="shared" si="3"/>
        <v>-22988.34392292759</v>
      </c>
      <c r="E24" s="223">
        <f t="shared" si="3"/>
        <v>-23003.669485542876</v>
      </c>
      <c r="F24" s="223">
        <f t="shared" si="3"/>
        <v>-3569.0052651999104</v>
      </c>
      <c r="G24" s="223">
        <f t="shared" si="3"/>
        <v>74978.61539795663</v>
      </c>
      <c r="H24" s="223">
        <f t="shared" si="3"/>
        <v>-18271.398858444736</v>
      </c>
      <c r="I24" s="223">
        <f t="shared" si="3"/>
        <v>-20333.57979101703</v>
      </c>
      <c r="J24" s="223">
        <f t="shared" si="3"/>
        <v>47872.864489122294</v>
      </c>
      <c r="K24" s="223">
        <f t="shared" si="3"/>
        <v>-22965.22026788496</v>
      </c>
      <c r="L24" s="223">
        <f t="shared" si="3"/>
        <v>-22980.530414730216</v>
      </c>
      <c r="M24" s="223">
        <f t="shared" si="3"/>
        <v>-620.8507683400385</v>
      </c>
      <c r="N24" s="223">
        <f t="shared" si="3"/>
        <v>77358.62172160274</v>
      </c>
      <c r="O24" s="223">
        <f>O10-O22</f>
        <v>61413.02059877291</v>
      </c>
      <c r="P24" s="223">
        <f>P10-P22</f>
        <v>-47357.52636143699</v>
      </c>
      <c r="Q24" s="223">
        <f>Q10-Q22</f>
        <v>-6725.41452232853</v>
      </c>
      <c r="R24" s="223">
        <f>R10-R22</f>
        <v>20579.051086492836</v>
      </c>
    </row>
    <row r="25" spans="2:6" ht="12.75">
      <c r="B25" s="11"/>
      <c r="C25" s="11"/>
      <c r="D25" s="11"/>
      <c r="E25" s="11"/>
      <c r="F25" s="11"/>
    </row>
    <row r="26" ht="12.75">
      <c r="A26" s="18" t="s">
        <v>47</v>
      </c>
    </row>
    <row r="27" spans="1:18" ht="12.75">
      <c r="A27" s="19" t="s">
        <v>48</v>
      </c>
      <c r="B27" s="22"/>
      <c r="C27" s="11">
        <f>B32</f>
        <v>38122.16291666667</v>
      </c>
      <c r="D27" s="11">
        <f aca="true" t="shared" si="4" ref="D27:M27">C32</f>
        <v>89239.74060861112</v>
      </c>
      <c r="E27" s="11">
        <f t="shared" si="4"/>
        <v>66251.39668568352</v>
      </c>
      <c r="F27" s="11">
        <f t="shared" si="4"/>
        <v>43247.72720014064</v>
      </c>
      <c r="G27" s="11">
        <f t="shared" si="4"/>
        <v>39678.721934940724</v>
      </c>
      <c r="H27" s="11">
        <f t="shared" si="4"/>
        <v>114657.33733289735</v>
      </c>
      <c r="I27" s="11">
        <f t="shared" si="4"/>
        <v>96385.93847445262</v>
      </c>
      <c r="J27" s="11">
        <f t="shared" si="4"/>
        <v>76052.3586834356</v>
      </c>
      <c r="K27" s="11">
        <f t="shared" si="4"/>
        <v>123925.22317255789</v>
      </c>
      <c r="L27" s="11">
        <f t="shared" si="4"/>
        <v>100960.00290467293</v>
      </c>
      <c r="M27" s="11">
        <f t="shared" si="4"/>
        <v>77979.47248994271</v>
      </c>
      <c r="O27" s="179">
        <f>DSUM(Capital,'Capital Projects'!$H$3,O32:O34)</f>
        <v>0</v>
      </c>
      <c r="P27" s="179">
        <f>DSUM(Capital,'Capital Projects'!$H$3,O36:O38)</f>
        <v>0</v>
      </c>
      <c r="Q27" s="179">
        <f>DSUM(Capital,'Capital Projects'!$H$3,O40:O42)</f>
        <v>0</v>
      </c>
      <c r="R27" s="179">
        <f>DSUM(Capital,'Capital Projects'!$H$3,O44:O46)</f>
        <v>0</v>
      </c>
    </row>
    <row r="28" spans="1:13" ht="12.75">
      <c r="A28" s="19" t="s">
        <v>49</v>
      </c>
      <c r="B28" s="12">
        <f>B24+B27</f>
        <v>38122.16291666667</v>
      </c>
      <c r="C28" s="12">
        <f aca="true" t="shared" si="5" ref="C28:M28">C24+C27</f>
        <v>89239.74060861112</v>
      </c>
      <c r="D28" s="12">
        <f t="shared" si="5"/>
        <v>66251.39668568352</v>
      </c>
      <c r="E28" s="12">
        <f t="shared" si="5"/>
        <v>43247.72720014064</v>
      </c>
      <c r="F28" s="12">
        <f t="shared" si="5"/>
        <v>39678.721934940724</v>
      </c>
      <c r="G28" s="12">
        <f t="shared" si="5"/>
        <v>114657.33733289735</v>
      </c>
      <c r="H28" s="12">
        <f t="shared" si="5"/>
        <v>96385.93847445262</v>
      </c>
      <c r="I28" s="12">
        <f t="shared" si="5"/>
        <v>76052.3586834356</v>
      </c>
      <c r="J28" s="12">
        <f t="shared" si="5"/>
        <v>123925.22317255789</v>
      </c>
      <c r="K28" s="12">
        <f t="shared" si="5"/>
        <v>100960.00290467293</v>
      </c>
      <c r="L28" s="12">
        <f t="shared" si="5"/>
        <v>77979.47248994271</v>
      </c>
      <c r="M28" s="12">
        <f t="shared" si="5"/>
        <v>77358.62172160267</v>
      </c>
    </row>
    <row r="29" spans="1:13" ht="12.75">
      <c r="A29" s="19" t="s">
        <v>50</v>
      </c>
      <c r="B29" s="12">
        <f>IF(B28&gt;0,0,-B28)</f>
        <v>0</v>
      </c>
      <c r="C29" s="12">
        <f aca="true" t="shared" si="6" ref="C29:M29">IF(C28&gt;0,0,-C28)</f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</row>
    <row r="30" spans="1:13" ht="12.75">
      <c r="A30" s="18" t="s">
        <v>51</v>
      </c>
      <c r="B30" s="12">
        <f>B28+B29</f>
        <v>38122.16291666667</v>
      </c>
      <c r="C30" s="12">
        <f aca="true" t="shared" si="7" ref="C30:M30">C28+C29</f>
        <v>89239.74060861112</v>
      </c>
      <c r="D30" s="12">
        <f t="shared" si="7"/>
        <v>66251.39668568352</v>
      </c>
      <c r="E30" s="12">
        <f t="shared" si="7"/>
        <v>43247.72720014064</v>
      </c>
      <c r="F30" s="12">
        <f t="shared" si="7"/>
        <v>39678.721934940724</v>
      </c>
      <c r="G30" s="12">
        <f t="shared" si="7"/>
        <v>114657.33733289735</v>
      </c>
      <c r="H30" s="12">
        <f t="shared" si="7"/>
        <v>96385.93847445262</v>
      </c>
      <c r="I30" s="12">
        <f t="shared" si="7"/>
        <v>76052.3586834356</v>
      </c>
      <c r="J30" s="12">
        <f t="shared" si="7"/>
        <v>123925.22317255789</v>
      </c>
      <c r="K30" s="12">
        <f t="shared" si="7"/>
        <v>100960.00290467293</v>
      </c>
      <c r="L30" s="12">
        <f t="shared" si="7"/>
        <v>77979.47248994271</v>
      </c>
      <c r="M30" s="12">
        <f t="shared" si="7"/>
        <v>77358.62172160267</v>
      </c>
    </row>
    <row r="31" spans="1:13" ht="12.75">
      <c r="A31" s="19" t="s">
        <v>52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6" ht="15">
      <c r="A32" s="18" t="s">
        <v>53</v>
      </c>
      <c r="B32" s="224">
        <f>B30+B31</f>
        <v>38122.16291666667</v>
      </c>
      <c r="C32" s="224">
        <f aca="true" t="shared" si="8" ref="C32:M32">C30+C31</f>
        <v>89239.74060861112</v>
      </c>
      <c r="D32" s="224">
        <f t="shared" si="8"/>
        <v>66251.39668568352</v>
      </c>
      <c r="E32" s="224">
        <f t="shared" si="8"/>
        <v>43247.72720014064</v>
      </c>
      <c r="F32" s="224">
        <f t="shared" si="8"/>
        <v>39678.721934940724</v>
      </c>
      <c r="G32" s="224">
        <f t="shared" si="8"/>
        <v>114657.33733289735</v>
      </c>
      <c r="H32" s="224">
        <f t="shared" si="8"/>
        <v>96385.93847445262</v>
      </c>
      <c r="I32" s="224">
        <f t="shared" si="8"/>
        <v>76052.3586834356</v>
      </c>
      <c r="J32" s="224">
        <f t="shared" si="8"/>
        <v>123925.22317255789</v>
      </c>
      <c r="K32" s="224">
        <f t="shared" si="8"/>
        <v>100960.00290467293</v>
      </c>
      <c r="L32" s="14">
        <f t="shared" si="8"/>
        <v>77979.47248994271</v>
      </c>
      <c r="M32" s="14">
        <f t="shared" si="8"/>
        <v>77358.62172160267</v>
      </c>
      <c r="O32" s="272" t="s">
        <v>176</v>
      </c>
      <c r="P32" s="272" t="s">
        <v>176</v>
      </c>
    </row>
    <row r="33" spans="1:16" ht="12.7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O33" s="272" t="s">
        <v>188</v>
      </c>
      <c r="P33" s="272" t="s">
        <v>178</v>
      </c>
    </row>
    <row r="34" spans="1:16" ht="12.75">
      <c r="A34" s="18" t="s">
        <v>54</v>
      </c>
      <c r="B34" s="11">
        <f>IF(B29&lt;0,0,B29)</f>
        <v>0</v>
      </c>
      <c r="C34" s="11">
        <f>IF(C29&lt;0,0,C29+B34-C31)</f>
        <v>0</v>
      </c>
      <c r="D34" s="11">
        <f aca="true" t="shared" si="9" ref="D34:M34">IF(D29&lt;0,0,D29+C34-D31)</f>
        <v>0</v>
      </c>
      <c r="E34" s="11">
        <f t="shared" si="9"/>
        <v>0</v>
      </c>
      <c r="F34" s="11">
        <f t="shared" si="9"/>
        <v>0</v>
      </c>
      <c r="G34" s="11">
        <f t="shared" si="9"/>
        <v>0</v>
      </c>
      <c r="H34" s="11">
        <f t="shared" si="9"/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O34" s="273">
        <f>'Chart of Accounts'!$E$16</f>
        <v>2002</v>
      </c>
      <c r="P34" s="273"/>
    </row>
    <row r="35" spans="1:16" ht="12.75">
      <c r="A35" s="18" t="s">
        <v>55</v>
      </c>
      <c r="B35" s="11">
        <f>IF(B32&gt;0,B32,0)</f>
        <v>38122.16291666667</v>
      </c>
      <c r="C35" s="11">
        <f aca="true" t="shared" si="10" ref="C35:M35">IF(C32&gt;0,C32,0)</f>
        <v>89239.74060861112</v>
      </c>
      <c r="D35" s="11">
        <f t="shared" si="10"/>
        <v>66251.39668568352</v>
      </c>
      <c r="E35" s="11">
        <f t="shared" si="10"/>
        <v>43247.72720014064</v>
      </c>
      <c r="F35" s="11">
        <f t="shared" si="10"/>
        <v>39678.721934940724</v>
      </c>
      <c r="G35" s="11">
        <f t="shared" si="10"/>
        <v>114657.33733289735</v>
      </c>
      <c r="H35" s="11">
        <f t="shared" si="10"/>
        <v>96385.93847445262</v>
      </c>
      <c r="I35" s="11">
        <f t="shared" si="10"/>
        <v>76052.3586834356</v>
      </c>
      <c r="J35" s="11">
        <f t="shared" si="10"/>
        <v>123925.22317255789</v>
      </c>
      <c r="K35" s="11">
        <f t="shared" si="10"/>
        <v>100960.00290467293</v>
      </c>
      <c r="L35" s="11">
        <f t="shared" si="10"/>
        <v>77979.47248994271</v>
      </c>
      <c r="M35" s="11">
        <f t="shared" si="10"/>
        <v>77358.62172160267</v>
      </c>
      <c r="O35" s="179"/>
      <c r="P35" s="179"/>
    </row>
    <row r="36" spans="15:16" ht="12.75">
      <c r="O36" s="272" t="s">
        <v>176</v>
      </c>
      <c r="P36" s="179"/>
    </row>
    <row r="37" spans="15:16" ht="12.75">
      <c r="O37" s="272" t="s">
        <v>188</v>
      </c>
      <c r="P37" s="179"/>
    </row>
    <row r="38" spans="15:16" ht="12.75">
      <c r="O38" s="273">
        <f>'Chart of Accounts'!$E$17</f>
        <v>2003</v>
      </c>
      <c r="P38" s="179"/>
    </row>
    <row r="39" spans="15:16" ht="12.75">
      <c r="O39" s="179"/>
      <c r="P39" s="179"/>
    </row>
    <row r="40" spans="15:16" ht="12.75">
      <c r="O40" s="272" t="s">
        <v>176</v>
      </c>
      <c r="P40" s="179"/>
    </row>
    <row r="41" spans="15:16" ht="12.75">
      <c r="O41" s="272" t="s">
        <v>188</v>
      </c>
      <c r="P41" s="179"/>
    </row>
    <row r="42" spans="15:16" ht="12.75">
      <c r="O42" s="273">
        <f>'Chart of Accounts'!$E$18</f>
        <v>2004</v>
      </c>
      <c r="P42" s="179"/>
    </row>
    <row r="43" spans="15:16" ht="12.75">
      <c r="O43" s="179"/>
      <c r="P43" s="179"/>
    </row>
    <row r="44" spans="15:16" ht="12.75">
      <c r="O44" s="272" t="s">
        <v>176</v>
      </c>
      <c r="P44" s="179"/>
    </row>
    <row r="45" spans="15:16" ht="12.75">
      <c r="O45" s="272" t="s">
        <v>188</v>
      </c>
      <c r="P45" s="179"/>
    </row>
    <row r="46" spans="15:16" ht="12.75">
      <c r="O46" s="273">
        <f>'Chart of Accounts'!$E$19</f>
        <v>2005</v>
      </c>
      <c r="P46" s="179"/>
    </row>
    <row r="47" spans="15:16" ht="12.75">
      <c r="O47" s="179"/>
      <c r="P47" s="179"/>
    </row>
    <row r="48" spans="15:16" ht="12.75">
      <c r="O48" s="179"/>
      <c r="P48" s="179"/>
    </row>
    <row r="49" spans="15:16" ht="12.75">
      <c r="O49" s="179"/>
      <c r="P49" s="179"/>
    </row>
    <row r="50" spans="15:16" ht="12.75">
      <c r="O50" s="179"/>
      <c r="P50" s="179"/>
    </row>
  </sheetData>
  <sheetProtection sheet="1" objects="1" scenarios="1"/>
  <printOptions/>
  <pageMargins left="0.75" right="0.75" top="1" bottom="1" header="0.5" footer="0.5"/>
  <pageSetup fitToWidth="2" fitToHeight="1" horizontalDpi="300" verticalDpi="300" orientation="landscape" scale="80" r:id="rId1"/>
  <headerFooter alignWithMargins="0">
    <oddHeader>&amp;C&amp;"Verdana,Regular"&amp;16&amp;A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AI83"/>
  <sheetViews>
    <sheetView showGridLines="0" zoomScale="50" zoomScaleNormal="50" workbookViewId="0" topLeftCell="A12">
      <selection activeCell="A1" sqref="A1"/>
    </sheetView>
  </sheetViews>
  <sheetFormatPr defaultColWidth="9.140625" defaultRowHeight="12.75"/>
  <cols>
    <col min="1" max="1" width="3.00390625" style="2" customWidth="1"/>
    <col min="2" max="2" width="2.421875" style="4" customWidth="1"/>
    <col min="3" max="3" width="34.7109375" style="2" customWidth="1"/>
    <col min="4" max="4" width="2.28125" style="2" customWidth="1"/>
    <col min="5" max="5" width="12.00390625" style="2" customWidth="1"/>
    <col min="6" max="6" width="13.28125" style="2" customWidth="1"/>
    <col min="7" max="7" width="13.57421875" style="2" customWidth="1"/>
    <col min="8" max="8" width="14.57421875" style="2" customWidth="1"/>
    <col min="9" max="9" width="2.140625" style="2" customWidth="1"/>
    <col min="10" max="10" width="11.28125" style="2" customWidth="1"/>
    <col min="11" max="11" width="13.140625" style="2" customWidth="1"/>
    <col min="12" max="12" width="12.421875" style="2" customWidth="1"/>
    <col min="13" max="13" width="15.140625" style="2" customWidth="1"/>
    <col min="14" max="14" width="16.28125" style="2" customWidth="1"/>
    <col min="15" max="15" width="2.00390625" style="2" customWidth="1"/>
    <col min="16" max="16" width="15.8515625" style="2" customWidth="1"/>
    <col min="17" max="17" width="15.421875" style="2" customWidth="1"/>
    <col min="18" max="18" width="14.7109375" style="2" customWidth="1"/>
    <col min="19" max="19" width="16.00390625" style="2" customWidth="1"/>
    <col min="20" max="20" width="12.00390625" style="2" customWidth="1"/>
    <col min="21" max="21" width="11.57421875" style="2" customWidth="1"/>
    <col min="22" max="22" width="1.8515625" style="2" customWidth="1"/>
    <col min="23" max="23" width="17.421875" style="2" customWidth="1"/>
    <col min="24" max="24" width="16.00390625" style="2" customWidth="1"/>
    <col min="25" max="25" width="15.7109375" style="2" customWidth="1"/>
    <col min="26" max="26" width="14.421875" style="2" customWidth="1"/>
    <col min="27" max="27" width="2.28125" style="2" customWidth="1"/>
    <col min="28" max="28" width="11.57421875" style="2" bestFit="1" customWidth="1"/>
    <col min="29" max="29" width="17.8515625" style="2" customWidth="1"/>
    <col min="30" max="30" width="11.7109375" style="2" customWidth="1"/>
    <col min="31" max="16384" width="9.140625" style="2" customWidth="1"/>
  </cols>
  <sheetData>
    <row r="1" ht="12.75">
      <c r="C1" s="4" t="s">
        <v>56</v>
      </c>
    </row>
    <row r="3" spans="2:7" ht="12.75">
      <c r="B3" s="4" t="str">
        <f>'Chart of Accounts'!B3</f>
        <v>Memberships/Contributions</v>
      </c>
      <c r="E3" s="24">
        <f>SUM(E4:E7)</f>
        <v>127200</v>
      </c>
      <c r="F3" s="25"/>
      <c r="G3" s="25"/>
    </row>
    <row r="4" spans="3:7" ht="12.75">
      <c r="C4" s="2" t="str">
        <f>'Chart of Accounts'!B4</f>
        <v>New Members</v>
      </c>
      <c r="E4" s="26">
        <f>'Conservation Program'!E4+'Outreach Program'!F4+'Development Program'!G4+'Administration Program'!E4</f>
        <v>30000</v>
      </c>
      <c r="F4" s="27"/>
      <c r="G4" s="27"/>
    </row>
    <row r="5" spans="3:7" ht="12.75">
      <c r="C5" s="2" t="str">
        <f>'Chart of Accounts'!B5</f>
        <v>Renewals</v>
      </c>
      <c r="E5" s="26">
        <f>'Conservation Program'!E5+'Outreach Program'!F5+'Development Program'!G5+'Administration Program'!E5</f>
        <v>75000</v>
      </c>
      <c r="F5" s="27"/>
      <c r="G5" s="27"/>
    </row>
    <row r="6" spans="3:7" ht="12.75">
      <c r="C6" s="2" t="str">
        <f>'Chart of Accounts'!B6</f>
        <v>Appeals</v>
      </c>
      <c r="E6" s="26">
        <f>'Conservation Program'!E6+'Outreach Program'!F6+'Development Program'!G6+'Administration Program'!E6</f>
        <v>15000</v>
      </c>
      <c r="F6" s="27"/>
      <c r="G6" s="27"/>
    </row>
    <row r="7" spans="3:7" ht="12.75">
      <c r="C7" s="2" t="str">
        <f>'Chart of Accounts'!B7</f>
        <v>Monthly Giving</v>
      </c>
      <c r="E7" s="26">
        <f>'Conservation Program'!E7+'Outreach Program'!F7+'Development Program'!G7+'Administration Program'!E7</f>
        <v>7200</v>
      </c>
      <c r="F7" s="27"/>
      <c r="G7" s="27"/>
    </row>
    <row r="8" spans="6:7" ht="9.75" customHeight="1">
      <c r="F8" s="28"/>
      <c r="G8" s="28"/>
    </row>
    <row r="9" spans="2:7" ht="12.75">
      <c r="B9" s="4" t="str">
        <f>'Chart of Accounts'!B9</f>
        <v>Major Donors</v>
      </c>
      <c r="E9" s="24">
        <f>'Conservation Program'!E8+'Outreach Program'!F8+'Development Program'!G8+'Administration Program'!E8</f>
        <v>80000</v>
      </c>
      <c r="F9" s="25"/>
      <c r="G9" s="25"/>
    </row>
    <row r="10" spans="6:7" ht="12.75">
      <c r="F10" s="28"/>
      <c r="G10" s="28"/>
    </row>
    <row r="11" spans="2:7" ht="12.75">
      <c r="B11" s="4" t="str">
        <f>'Chart of Accounts'!B11</f>
        <v>Workplace Giving</v>
      </c>
      <c r="E11" s="24">
        <f>'Conservation Program'!E9+'Outreach Program'!F9+'Development Program'!G9+'Administration Program'!E9</f>
        <v>3000</v>
      </c>
      <c r="F11" s="25"/>
      <c r="G11" s="25"/>
    </row>
    <row r="12" spans="6:7" ht="12.75">
      <c r="F12" s="28"/>
      <c r="G12" s="28"/>
    </row>
    <row r="13" spans="2:7" ht="12.75">
      <c r="B13" s="4" t="str">
        <f>'Chart of Accounts'!B13</f>
        <v>Grants</v>
      </c>
      <c r="E13" s="24">
        <f>'Conservation Program'!E10+'Outreach Program'!F10+'Development Program'!G10+'Administration Program'!E10</f>
        <v>126500</v>
      </c>
      <c r="F13" s="25"/>
      <c r="G13" s="25"/>
    </row>
    <row r="14" spans="5:7" ht="12.75">
      <c r="E14" s="28"/>
      <c r="F14" s="25"/>
      <c r="G14" s="25"/>
    </row>
    <row r="15" spans="2:7" ht="12.75">
      <c r="B15" s="4" t="str">
        <f>'Chart of Accounts'!B15</f>
        <v>Other Income</v>
      </c>
      <c r="E15" s="24">
        <f>'Conservation Program'!E11+'Outreach Program'!F11+'Development Program'!G11+'Administration Program'!E11</f>
        <v>90507.66672160267</v>
      </c>
      <c r="F15" s="25"/>
      <c r="G15" s="25"/>
    </row>
    <row r="16" spans="6:7" ht="12.75">
      <c r="F16" s="28"/>
      <c r="G16" s="28"/>
    </row>
    <row r="17" spans="2:8" ht="12.75">
      <c r="B17" s="4" t="s">
        <v>57</v>
      </c>
      <c r="E17" s="29">
        <f>E3+E9+E13+E11+E15</f>
        <v>427207.66672160267</v>
      </c>
      <c r="F17" s="25"/>
      <c r="G17" s="25"/>
      <c r="H17" s="30"/>
    </row>
    <row r="22" ht="12.75">
      <c r="C22" s="4" t="s">
        <v>58</v>
      </c>
    </row>
    <row r="23" spans="5:14" ht="12.75"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35" ht="12.75">
      <c r="B24" s="15"/>
      <c r="D24" s="32"/>
      <c r="E24" s="33" t="str">
        <f>'Chart of Accounts'!A2</f>
        <v>Conservation</v>
      </c>
      <c r="F24" s="33"/>
      <c r="G24" s="33"/>
      <c r="H24" s="33"/>
      <c r="I24" s="33"/>
      <c r="J24" s="33" t="str">
        <f>'Chart of Accounts'!A3</f>
        <v>Outreach</v>
      </c>
      <c r="K24" s="33"/>
      <c r="L24" s="33"/>
      <c r="M24" s="33"/>
      <c r="N24" s="33"/>
      <c r="O24" s="15"/>
      <c r="P24" s="15" t="str">
        <f>'Chart of Accounts'!A4</f>
        <v>Development</v>
      </c>
      <c r="Q24" s="15"/>
      <c r="R24" s="15"/>
      <c r="S24" s="15"/>
      <c r="T24" s="15"/>
      <c r="U24" s="15"/>
      <c r="V24" s="15"/>
      <c r="W24" s="15" t="str">
        <f>'Chart of Accounts'!A5</f>
        <v>Administration</v>
      </c>
      <c r="X24" s="15"/>
      <c r="Y24" s="15"/>
      <c r="Z24" s="15"/>
      <c r="AA24" s="15"/>
      <c r="AB24" s="15" t="s">
        <v>46</v>
      </c>
      <c r="AC24" s="15" t="s">
        <v>63</v>
      </c>
      <c r="AD24" s="15"/>
      <c r="AE24" s="15"/>
      <c r="AF24" s="15"/>
      <c r="AG24" s="15"/>
      <c r="AH24" s="15"/>
      <c r="AI24" s="15"/>
    </row>
    <row r="25" spans="2:35" ht="12.75">
      <c r="B25" s="15"/>
      <c r="C25" s="15"/>
      <c r="D25" s="34"/>
      <c r="E25" s="35"/>
      <c r="F25" s="35" t="str">
        <f>'Chart of Accounts'!$A$9</f>
        <v>Protection</v>
      </c>
      <c r="G25" s="35" t="str">
        <f>'Chart of Accounts'!$A$10</f>
        <v>Stewardship</v>
      </c>
      <c r="H25" s="35" t="str">
        <f>'Chart of Accounts'!$A$11</f>
        <v>Monitoring</v>
      </c>
      <c r="I25" s="35"/>
      <c r="J25" s="35"/>
      <c r="K25" s="35" t="str">
        <f>'Chart of Accounts'!$A$12</f>
        <v>Landowner</v>
      </c>
      <c r="L25" s="35" t="str">
        <f>'Chart of Accounts'!$A$13</f>
        <v>Public</v>
      </c>
      <c r="M25" s="35" t="str">
        <f>'Chart of Accounts'!$A$14</f>
        <v>Networking</v>
      </c>
      <c r="N25" s="35" t="str">
        <f>'Chart of Accounts'!$A$15</f>
        <v>Advocacy</v>
      </c>
      <c r="O25" s="34"/>
      <c r="P25" s="35"/>
      <c r="Q25" s="35" t="str">
        <f>'Chart of Accounts'!$A$16</f>
        <v>Major Donors</v>
      </c>
      <c r="R25" s="35" t="str">
        <f>'Chart of Accounts'!$A$17</f>
        <v>Membership</v>
      </c>
      <c r="S25" s="35" t="str">
        <f>'Chart of Accounts'!$A$18</f>
        <v>Contributions</v>
      </c>
      <c r="T25" s="35" t="str">
        <f>'Chart of Accounts'!$A$19</f>
        <v>Grants</v>
      </c>
      <c r="U25" s="35" t="str">
        <f>'Chart of Accounts'!$A$20</f>
        <v>Misc. Dev.</v>
      </c>
      <c r="V25" s="35"/>
      <c r="W25" s="35"/>
      <c r="X25" s="35" t="str">
        <f>'Chart of Accounts'!$A$21</f>
        <v>Bd. Dev./ Mgt.</v>
      </c>
      <c r="Y25" s="35" t="str">
        <f>'Chart of Accounts'!$A$22</f>
        <v>Staff Dev.</v>
      </c>
      <c r="Z25" s="35" t="str">
        <f>'Chart of Accounts'!$A$23</f>
        <v>Gen. Admin.</v>
      </c>
      <c r="AA25" s="34"/>
      <c r="AB25" s="34"/>
      <c r="AC25" s="34"/>
      <c r="AD25" s="34"/>
      <c r="AE25" s="34"/>
      <c r="AF25" s="34"/>
      <c r="AG25" s="34"/>
      <c r="AH25" s="34"/>
      <c r="AI25" s="34"/>
    </row>
    <row r="26" spans="2:29" ht="12.75">
      <c r="B26" s="4" t="str">
        <f>'Chart of Accounts'!$C$3</f>
        <v>Salaries, Taxes, and Benefits</v>
      </c>
      <c r="C26" s="34"/>
      <c r="E26" s="36">
        <f>SUM(E27:E31)</f>
        <v>115774.00575000001</v>
      </c>
      <c r="F26" s="36">
        <f>SUM(F27:F31)</f>
        <v>34632.07125</v>
      </c>
      <c r="G26" s="36">
        <f>SUM(G27:G31)</f>
        <v>37571.51925</v>
      </c>
      <c r="H26" s="36">
        <f>SUM(H27:H31)</f>
        <v>43570.41525</v>
      </c>
      <c r="I26" s="37"/>
      <c r="J26" s="36">
        <f>SUM(J27:J31)</f>
        <v>123706.57875</v>
      </c>
      <c r="K26" s="36">
        <f>SUM(K27:K31)</f>
        <v>33919.70925</v>
      </c>
      <c r="L26" s="36">
        <f>SUM(L27:L31)</f>
        <v>40536.501</v>
      </c>
      <c r="M26" s="36">
        <f>SUM(M27:M31)</f>
        <v>30564.080249999995</v>
      </c>
      <c r="N26" s="36">
        <f>SUM(N27:N31)</f>
        <v>18686.288249999998</v>
      </c>
      <c r="O26" s="30"/>
      <c r="P26" s="36">
        <f aca="true" t="shared" si="0" ref="P26:U26">SUM(P27:P31)</f>
        <v>68479.67625</v>
      </c>
      <c r="Q26" s="36">
        <f t="shared" si="0"/>
        <v>13695.93525</v>
      </c>
      <c r="R26" s="36">
        <f t="shared" si="0"/>
        <v>13695.93525</v>
      </c>
      <c r="S26" s="36">
        <f t="shared" si="0"/>
        <v>13695.93525</v>
      </c>
      <c r="T26" s="36">
        <f t="shared" si="0"/>
        <v>13695.93525</v>
      </c>
      <c r="U26" s="36">
        <f t="shared" si="0"/>
        <v>13695.93525</v>
      </c>
      <c r="V26" s="37"/>
      <c r="W26" s="36">
        <f>SUM(W27:W31)</f>
        <v>20873.78425</v>
      </c>
      <c r="X26" s="36">
        <f>SUM(X27:X31)</f>
        <v>9042.8205</v>
      </c>
      <c r="Y26" s="36">
        <f>SUM(Y27:Y31)</f>
        <v>6903.3725</v>
      </c>
      <c r="Z26" s="36">
        <f>SUM(Z27:Z31)</f>
        <v>4927.59125</v>
      </c>
      <c r="AA26" s="30"/>
      <c r="AB26" s="36">
        <f aca="true" t="shared" si="1" ref="AB26:AB31">SUM(P26+W26+J26+E26)</f>
        <v>328834.04500000004</v>
      </c>
      <c r="AC26" s="38">
        <f aca="true" t="shared" si="2" ref="AC26:AC31">AB26/$AB$73</f>
        <v>0.8577927851626709</v>
      </c>
    </row>
    <row r="27" spans="3:29" ht="12.75">
      <c r="C27" s="1" t="str">
        <f>'Chart of Accounts'!$C$4</f>
        <v>Salaries</v>
      </c>
      <c r="E27" s="36">
        <f>SUM(F27:H27)</f>
        <v>98470.5375</v>
      </c>
      <c r="F27" s="36">
        <f>'Conservation Program'!B15</f>
        <v>29452.3125</v>
      </c>
      <c r="G27" s="36">
        <f>'Conservation Program'!C15</f>
        <v>31980.7125</v>
      </c>
      <c r="H27" s="36">
        <f>'Conservation Program'!D15</f>
        <v>37037.5125</v>
      </c>
      <c r="I27" s="37"/>
      <c r="J27" s="36">
        <f>SUM(K27:N27)</f>
        <v>105030.1875</v>
      </c>
      <c r="K27" s="36">
        <f>'Outreach Program'!B15</f>
        <v>28820.212499999998</v>
      </c>
      <c r="L27" s="36">
        <f>'Outreach Program'!C15</f>
        <v>34372.049999999996</v>
      </c>
      <c r="M27" s="36">
        <f>'Outreach Program'!D15</f>
        <v>25975.762499999997</v>
      </c>
      <c r="N27" s="36">
        <f>'Outreach Program'!E15</f>
        <v>15862.162499999999</v>
      </c>
      <c r="O27" s="30"/>
      <c r="P27" s="36">
        <f>SUM(Q27:U27)</f>
        <v>58767.5625</v>
      </c>
      <c r="Q27" s="36">
        <f>'Development Program'!B15</f>
        <v>11753.5125</v>
      </c>
      <c r="R27" s="36">
        <f>'Development Program'!C15</f>
        <v>11753.5125</v>
      </c>
      <c r="S27" s="36">
        <f>'Development Program'!D15</f>
        <v>11753.5125</v>
      </c>
      <c r="T27" s="36">
        <f>'Development Program'!E15</f>
        <v>11753.5125</v>
      </c>
      <c r="U27" s="36">
        <f>'Development Program'!F15</f>
        <v>11753.5125</v>
      </c>
      <c r="V27" s="39"/>
      <c r="W27" s="36">
        <f>SUM(X27:Z27)</f>
        <v>17048.9625</v>
      </c>
      <c r="X27" s="36">
        <f>'Administration Program'!B15</f>
        <v>7704.525</v>
      </c>
      <c r="Y27" s="36">
        <f>'Administration Program'!C15</f>
        <v>5176.125</v>
      </c>
      <c r="Z27" s="36">
        <f>'Administration Program'!D15</f>
        <v>4168.3125</v>
      </c>
      <c r="AA27" s="40">
        <v>44966</v>
      </c>
      <c r="AB27" s="36">
        <f t="shared" si="1"/>
        <v>279317.25</v>
      </c>
      <c r="AC27" s="38">
        <f t="shared" si="2"/>
        <v>0.7286238315788683</v>
      </c>
    </row>
    <row r="28" spans="3:29" ht="12.75">
      <c r="C28" s="1" t="str">
        <f>'Chart of Accounts'!$C$5</f>
        <v>Taxes</v>
      </c>
      <c r="E28" s="36">
        <f>SUM(F28:H28)</f>
        <v>12503.468249999998</v>
      </c>
      <c r="F28" s="36">
        <f>'Conservation Program'!B16</f>
        <v>3739.75875</v>
      </c>
      <c r="G28" s="36">
        <f>'Conservation Program'!C16</f>
        <v>4060.8067499999997</v>
      </c>
      <c r="H28" s="36">
        <f>'Conservation Program'!D16</f>
        <v>4702.902749999999</v>
      </c>
      <c r="I28" s="37"/>
      <c r="J28" s="36">
        <f>SUM(K28:N28)</f>
        <v>13336.391249999999</v>
      </c>
      <c r="K28" s="36">
        <f>'Outreach Program'!B16</f>
        <v>3659.4967500000002</v>
      </c>
      <c r="L28" s="36">
        <f>'Outreach Program'!C16</f>
        <v>4364.451</v>
      </c>
      <c r="M28" s="36">
        <f>'Outreach Program'!D16</f>
        <v>3298.3177499999997</v>
      </c>
      <c r="N28" s="36">
        <f>'Outreach Program'!E16</f>
        <v>2014.12575</v>
      </c>
      <c r="O28" s="30"/>
      <c r="P28" s="36">
        <f>SUM(Q28:U28)</f>
        <v>7462.11375</v>
      </c>
      <c r="Q28" s="36">
        <f>'Development Program'!B16</f>
        <v>1492.4227500000002</v>
      </c>
      <c r="R28" s="36">
        <f>'Development Program'!C16</f>
        <v>1492.4227500000002</v>
      </c>
      <c r="S28" s="36">
        <f>'Development Program'!D16</f>
        <v>1492.4227500000002</v>
      </c>
      <c r="T28" s="36">
        <f>'Development Program'!E16</f>
        <v>1492.4227500000002</v>
      </c>
      <c r="U28" s="36">
        <f>'Development Program'!F16</f>
        <v>1492.4227500000002</v>
      </c>
      <c r="V28" s="39"/>
      <c r="W28" s="36">
        <f>SUM(X28:Z28)</f>
        <v>2164.82175</v>
      </c>
      <c r="X28" s="36">
        <f>'Administration Program'!B16</f>
        <v>978.2955000000001</v>
      </c>
      <c r="Y28" s="36">
        <f>'Administration Program'!C16</f>
        <v>657.2475000000001</v>
      </c>
      <c r="Z28" s="36">
        <f>'Administration Program'!D16</f>
        <v>529.2787500000001</v>
      </c>
      <c r="AA28" s="40">
        <v>5638</v>
      </c>
      <c r="AB28" s="36">
        <f t="shared" si="1"/>
        <v>35466.795</v>
      </c>
      <c r="AC28" s="38">
        <f t="shared" si="2"/>
        <v>0.092518281870247</v>
      </c>
    </row>
    <row r="29" spans="3:29" ht="12.75">
      <c r="C29" s="1" t="str">
        <f>'Chart of Accounts'!$C$6</f>
        <v>Benefits</v>
      </c>
      <c r="E29" s="36">
        <f>SUM(F29:H29)</f>
        <v>4800</v>
      </c>
      <c r="F29" s="36">
        <f>'Conservation Program'!B17</f>
        <v>1440</v>
      </c>
      <c r="G29" s="36">
        <f>'Conservation Program'!C17</f>
        <v>1530</v>
      </c>
      <c r="H29" s="36">
        <f>'Conservation Program'!D17</f>
        <v>1830</v>
      </c>
      <c r="I29" s="37"/>
      <c r="J29" s="36">
        <f>SUM(K29:N29)</f>
        <v>5340</v>
      </c>
      <c r="K29" s="36">
        <f>'Outreach Program'!B17</f>
        <v>1440</v>
      </c>
      <c r="L29" s="36">
        <f>'Outreach Program'!C17</f>
        <v>1800</v>
      </c>
      <c r="M29" s="36">
        <f>'Outreach Program'!D17</f>
        <v>1290</v>
      </c>
      <c r="N29" s="36">
        <f>'Outreach Program'!E17</f>
        <v>810</v>
      </c>
      <c r="O29" s="30"/>
      <c r="P29" s="36">
        <f>SUM(Q29:U29)</f>
        <v>2250</v>
      </c>
      <c r="Q29" s="36">
        <f>'Development Program'!B17</f>
        <v>450</v>
      </c>
      <c r="R29" s="36">
        <f>'Development Program'!C17</f>
        <v>450</v>
      </c>
      <c r="S29" s="36">
        <f>'Development Program'!D17</f>
        <v>450</v>
      </c>
      <c r="T29" s="36">
        <f>'Development Program'!E17</f>
        <v>450</v>
      </c>
      <c r="U29" s="36">
        <f>'Development Program'!F17</f>
        <v>450</v>
      </c>
      <c r="V29" s="39"/>
      <c r="W29" s="36">
        <f>SUM(X29:Z29)</f>
        <v>810</v>
      </c>
      <c r="X29" s="36">
        <f>'Administration Program'!B17</f>
        <v>360</v>
      </c>
      <c r="Y29" s="36">
        <f>'Administration Program'!C17</f>
        <v>270</v>
      </c>
      <c r="Z29" s="36">
        <f>'Administration Program'!D17</f>
        <v>180</v>
      </c>
      <c r="AA29" s="40">
        <v>4261</v>
      </c>
      <c r="AB29" s="36">
        <f t="shared" si="1"/>
        <v>13200</v>
      </c>
      <c r="AC29" s="38">
        <f t="shared" si="2"/>
        <v>0.034433371289603706</v>
      </c>
    </row>
    <row r="30" spans="3:29" ht="12.75">
      <c r="C30" s="1" t="str">
        <f>'Chart of Accounts'!$C$7</f>
        <v>Temps.</v>
      </c>
      <c r="E30" s="36">
        <f>SUM(F30:H30)</f>
        <v>0</v>
      </c>
      <c r="F30" s="36">
        <f>'Conservation Program'!B18</f>
        <v>0</v>
      </c>
      <c r="G30" s="36">
        <f>'Conservation Program'!C18</f>
        <v>0</v>
      </c>
      <c r="H30" s="36">
        <f>'Conservation Program'!D18</f>
        <v>0</v>
      </c>
      <c r="I30" s="37"/>
      <c r="J30" s="36">
        <f>SUM(K30:N30)</f>
        <v>0</v>
      </c>
      <c r="K30" s="36">
        <f>'Outreach Program'!B18</f>
        <v>0</v>
      </c>
      <c r="L30" s="36">
        <f>'Outreach Program'!C18</f>
        <v>0</v>
      </c>
      <c r="M30" s="36">
        <f>'Outreach Program'!D18</f>
        <v>0</v>
      </c>
      <c r="N30" s="36">
        <f>'Outreach Program'!E18</f>
        <v>0</v>
      </c>
      <c r="O30" s="30"/>
      <c r="P30" s="36">
        <f>SUM(Q30:U30)</f>
        <v>0</v>
      </c>
      <c r="Q30" s="36">
        <f>'Development Program'!B18</f>
        <v>0</v>
      </c>
      <c r="R30" s="36">
        <f>'Development Program'!C18</f>
        <v>0</v>
      </c>
      <c r="S30" s="36">
        <f>'Development Program'!D18</f>
        <v>0</v>
      </c>
      <c r="T30" s="36">
        <f>'Development Program'!E18</f>
        <v>0</v>
      </c>
      <c r="U30" s="36">
        <f>'Development Program'!F18</f>
        <v>0</v>
      </c>
      <c r="V30" s="39"/>
      <c r="W30" s="36">
        <f>SUM(X30:Z30)</f>
        <v>550</v>
      </c>
      <c r="X30" s="36">
        <f>'Administration Program'!B18</f>
        <v>0</v>
      </c>
      <c r="Y30" s="36">
        <f>'Administration Program'!C18</f>
        <v>500</v>
      </c>
      <c r="Z30" s="36">
        <f>'Administration Program'!D18</f>
        <v>50</v>
      </c>
      <c r="AA30" s="40"/>
      <c r="AB30" s="36">
        <f t="shared" si="1"/>
        <v>550</v>
      </c>
      <c r="AC30" s="38">
        <f t="shared" si="2"/>
        <v>0.001434723803733488</v>
      </c>
    </row>
    <row r="31" spans="3:29" ht="12.75">
      <c r="C31" s="1" t="str">
        <f>'Chart of Accounts'!$C$8</f>
        <v>Hiring Costs</v>
      </c>
      <c r="E31" s="36">
        <f>SUM(F31:H31)</f>
        <v>0</v>
      </c>
      <c r="F31" s="36">
        <f>'Conservation Program'!B19</f>
        <v>0</v>
      </c>
      <c r="G31" s="36">
        <f>'Conservation Program'!C19</f>
        <v>0</v>
      </c>
      <c r="H31" s="36">
        <f>'Conservation Program'!D19</f>
        <v>0</v>
      </c>
      <c r="I31" s="37"/>
      <c r="J31" s="36">
        <f>SUM(K31:N31)</f>
        <v>0</v>
      </c>
      <c r="K31" s="36">
        <f>'Outreach Program'!B19</f>
        <v>0</v>
      </c>
      <c r="L31" s="36">
        <f>'Outreach Program'!C19</f>
        <v>0</v>
      </c>
      <c r="M31" s="36">
        <f>'Outreach Program'!D19</f>
        <v>0</v>
      </c>
      <c r="N31" s="36">
        <f>'Outreach Program'!E19</f>
        <v>0</v>
      </c>
      <c r="O31" s="30"/>
      <c r="P31" s="36">
        <f>SUM(Q31:U31)</f>
        <v>0</v>
      </c>
      <c r="Q31" s="36">
        <f>'Development Program'!B19</f>
        <v>0</v>
      </c>
      <c r="R31" s="36">
        <f>'Development Program'!C19</f>
        <v>0</v>
      </c>
      <c r="S31" s="36">
        <f>'Development Program'!D19</f>
        <v>0</v>
      </c>
      <c r="T31" s="36">
        <f>'Development Program'!E19</f>
        <v>0</v>
      </c>
      <c r="U31" s="36">
        <f>'Development Program'!F19</f>
        <v>0</v>
      </c>
      <c r="V31" s="39"/>
      <c r="W31" s="36">
        <f>SUM(X31:Z31)</f>
        <v>300</v>
      </c>
      <c r="X31" s="36">
        <f>'Administration Program'!B19</f>
        <v>0</v>
      </c>
      <c r="Y31" s="36">
        <f>'Administration Program'!C19</f>
        <v>300</v>
      </c>
      <c r="Z31" s="36">
        <f>'Administration Program'!D19</f>
        <v>0</v>
      </c>
      <c r="AA31" s="40"/>
      <c r="AB31" s="36">
        <f t="shared" si="1"/>
        <v>300</v>
      </c>
      <c r="AC31" s="38">
        <f t="shared" si="2"/>
        <v>0.0007825766202182662</v>
      </c>
    </row>
    <row r="32" spans="5:29" ht="12.7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0"/>
      <c r="P32" s="37"/>
      <c r="Q32" s="37"/>
      <c r="R32" s="37"/>
      <c r="S32" s="37"/>
      <c r="T32" s="37"/>
      <c r="U32" s="37"/>
      <c r="V32" s="39"/>
      <c r="W32" s="37"/>
      <c r="X32" s="37"/>
      <c r="Y32" s="37"/>
      <c r="Z32" s="37"/>
      <c r="AA32" s="40"/>
      <c r="AB32" s="37"/>
      <c r="AC32" s="38"/>
    </row>
    <row r="33" spans="2:29" ht="12.75">
      <c r="B33" s="4" t="str">
        <f>'Chart of Accounts'!$C$10</f>
        <v>Professional Services</v>
      </c>
      <c r="C33" s="1"/>
      <c r="E33" s="36">
        <f>SUM(E34:E39)</f>
        <v>4500</v>
      </c>
      <c r="F33" s="36">
        <f>SUM(F34:F39)</f>
        <v>1500</v>
      </c>
      <c r="G33" s="36">
        <f>SUM(G34:G39)</f>
        <v>3000</v>
      </c>
      <c r="H33" s="36">
        <f>SUM(H34:H39)</f>
        <v>0</v>
      </c>
      <c r="I33" s="37"/>
      <c r="J33" s="36">
        <f>SUM(J34:J39)</f>
        <v>0</v>
      </c>
      <c r="K33" s="36">
        <f>SUM(K34:K39)</f>
        <v>0</v>
      </c>
      <c r="L33" s="36">
        <f>SUM(L34:L39)</f>
        <v>0</v>
      </c>
      <c r="M33" s="36">
        <f>SUM(M34:M39)</f>
        <v>0</v>
      </c>
      <c r="N33" s="36">
        <f>SUM(N34:N39)</f>
        <v>0</v>
      </c>
      <c r="O33" s="30"/>
      <c r="P33" s="36">
        <f aca="true" t="shared" si="3" ref="P33:Z33">SUM(P34:P39)</f>
        <v>8800</v>
      </c>
      <c r="Q33" s="36">
        <f t="shared" si="3"/>
        <v>2000</v>
      </c>
      <c r="R33" s="36">
        <f t="shared" si="3"/>
        <v>6800</v>
      </c>
      <c r="S33" s="36">
        <f t="shared" si="3"/>
        <v>0</v>
      </c>
      <c r="T33" s="36">
        <f t="shared" si="3"/>
        <v>0</v>
      </c>
      <c r="U33" s="41">
        <f t="shared" si="3"/>
        <v>0</v>
      </c>
      <c r="V33" s="42"/>
      <c r="W33" s="43">
        <f t="shared" si="3"/>
        <v>1500</v>
      </c>
      <c r="X33" s="36">
        <f t="shared" si="3"/>
        <v>0</v>
      </c>
      <c r="Y33" s="36">
        <f t="shared" si="3"/>
        <v>1500</v>
      </c>
      <c r="Z33" s="36">
        <f t="shared" si="3"/>
        <v>0</v>
      </c>
      <c r="AA33" s="40"/>
      <c r="AB33" s="36">
        <f aca="true" t="shared" si="4" ref="AB33:AB39">SUM(P33+W33+J33+E33)</f>
        <v>14800</v>
      </c>
      <c r="AC33" s="38">
        <f aca="true" t="shared" si="5" ref="AC33:AC39">AB33/$AB$73</f>
        <v>0.03860711326410113</v>
      </c>
    </row>
    <row r="34" spans="3:29" ht="12.75">
      <c r="C34" s="1" t="str">
        <f>'Chart of Accounts'!$C$11</f>
        <v>Account.</v>
      </c>
      <c r="E34" s="36">
        <f aca="true" t="shared" si="6" ref="E34:E39">SUM(F34:H34)</f>
        <v>0</v>
      </c>
      <c r="F34" s="36">
        <f>'Conservation Program'!B22</f>
        <v>0</v>
      </c>
      <c r="G34" s="36">
        <f>'Conservation Program'!C22</f>
        <v>0</v>
      </c>
      <c r="H34" s="36">
        <f>'Conservation Program'!D22</f>
        <v>0</v>
      </c>
      <c r="I34" s="37"/>
      <c r="J34" s="36">
        <f aca="true" t="shared" si="7" ref="J34:J39">SUM(K34:N34)</f>
        <v>0</v>
      </c>
      <c r="K34" s="36">
        <f>'Outreach Program'!B22</f>
        <v>0</v>
      </c>
      <c r="L34" s="36">
        <f>'Outreach Program'!C22</f>
        <v>0</v>
      </c>
      <c r="M34" s="36">
        <f>'Outreach Program'!D22</f>
        <v>0</v>
      </c>
      <c r="N34" s="36">
        <f>'Outreach Program'!E22</f>
        <v>0</v>
      </c>
      <c r="O34" s="30"/>
      <c r="P34" s="36">
        <f aca="true" t="shared" si="8" ref="P34:P39">SUM(Q34:U34)</f>
        <v>0</v>
      </c>
      <c r="Q34" s="36">
        <f>'Development Program'!B22</f>
        <v>0</v>
      </c>
      <c r="R34" s="36">
        <f>'Development Program'!C22</f>
        <v>0</v>
      </c>
      <c r="S34" s="36">
        <f>'Development Program'!D22</f>
        <v>0</v>
      </c>
      <c r="T34" s="36">
        <f>'Development Program'!E22</f>
        <v>0</v>
      </c>
      <c r="U34" s="36">
        <f>'Development Program'!F22</f>
        <v>0</v>
      </c>
      <c r="V34" s="42"/>
      <c r="W34" s="43">
        <f aca="true" t="shared" si="9" ref="W34:W39">SUM(X34:Z34)</f>
        <v>0</v>
      </c>
      <c r="X34" s="36">
        <f>'Administration Program'!B22</f>
        <v>0</v>
      </c>
      <c r="Y34" s="36">
        <f>'Administration Program'!C22</f>
        <v>0</v>
      </c>
      <c r="Z34" s="36">
        <f>'Administration Program'!D22</f>
        <v>0</v>
      </c>
      <c r="AA34" s="40">
        <v>2329</v>
      </c>
      <c r="AB34" s="36">
        <f t="shared" si="4"/>
        <v>0</v>
      </c>
      <c r="AC34" s="38">
        <f t="shared" si="5"/>
        <v>0</v>
      </c>
    </row>
    <row r="35" spans="3:29" ht="12.75">
      <c r="C35" s="1" t="str">
        <f>'Chart of Accounts'!$C$12</f>
        <v>Legal</v>
      </c>
      <c r="E35" s="36">
        <f t="shared" si="6"/>
        <v>3900</v>
      </c>
      <c r="F35" s="36">
        <f>'Conservation Program'!B23</f>
        <v>1500</v>
      </c>
      <c r="G35" s="36">
        <f>'Conservation Program'!C23</f>
        <v>2400</v>
      </c>
      <c r="H35" s="36">
        <f>'Conservation Program'!D23</f>
        <v>0</v>
      </c>
      <c r="I35" s="37"/>
      <c r="J35" s="36">
        <f t="shared" si="7"/>
        <v>0</v>
      </c>
      <c r="K35" s="36">
        <f>'Outreach Program'!B23</f>
        <v>0</v>
      </c>
      <c r="L35" s="36">
        <f>'Outreach Program'!C23</f>
        <v>0</v>
      </c>
      <c r="M35" s="36">
        <f>'Outreach Program'!D23</f>
        <v>0</v>
      </c>
      <c r="N35" s="36">
        <f>'Outreach Program'!E23</f>
        <v>0</v>
      </c>
      <c r="O35" s="30"/>
      <c r="P35" s="36">
        <f t="shared" si="8"/>
        <v>0</v>
      </c>
      <c r="Q35" s="36">
        <f>'Development Program'!B23</f>
        <v>0</v>
      </c>
      <c r="R35" s="36">
        <f>'Development Program'!C23</f>
        <v>0</v>
      </c>
      <c r="S35" s="36">
        <f>'Development Program'!D23</f>
        <v>0</v>
      </c>
      <c r="T35" s="36">
        <f>'Development Program'!E23</f>
        <v>0</v>
      </c>
      <c r="U35" s="36">
        <f>'Development Program'!F23</f>
        <v>0</v>
      </c>
      <c r="V35" s="42"/>
      <c r="W35" s="43">
        <f t="shared" si="9"/>
        <v>0</v>
      </c>
      <c r="X35" s="36">
        <f>'Administration Program'!B23</f>
        <v>0</v>
      </c>
      <c r="Y35" s="36">
        <f>'Administration Program'!C23</f>
        <v>0</v>
      </c>
      <c r="Z35" s="36">
        <f>'Administration Program'!D23</f>
        <v>0</v>
      </c>
      <c r="AA35" s="40"/>
      <c r="AB35" s="36">
        <f t="shared" si="4"/>
        <v>3900</v>
      </c>
      <c r="AC35" s="38">
        <f t="shared" si="5"/>
        <v>0.01017349606283746</v>
      </c>
    </row>
    <row r="36" spans="3:29" ht="12.75">
      <c r="C36" s="1" t="str">
        <f>'Chart of Accounts'!$C$13</f>
        <v>Mgmt.</v>
      </c>
      <c r="E36" s="36">
        <f t="shared" si="6"/>
        <v>0</v>
      </c>
      <c r="F36" s="36">
        <f>'Conservation Program'!B24</f>
        <v>0</v>
      </c>
      <c r="G36" s="36">
        <f>'Conservation Program'!C24</f>
        <v>0</v>
      </c>
      <c r="H36" s="36">
        <f>'Conservation Program'!D24</f>
        <v>0</v>
      </c>
      <c r="I36" s="37"/>
      <c r="J36" s="36">
        <f t="shared" si="7"/>
        <v>0</v>
      </c>
      <c r="K36" s="36">
        <f>'Outreach Program'!B24</f>
        <v>0</v>
      </c>
      <c r="L36" s="36">
        <f>'Outreach Program'!C24</f>
        <v>0</v>
      </c>
      <c r="M36" s="36">
        <f>'Outreach Program'!D24</f>
        <v>0</v>
      </c>
      <c r="N36" s="36">
        <f>'Outreach Program'!E24</f>
        <v>0</v>
      </c>
      <c r="O36" s="30"/>
      <c r="P36" s="36">
        <f t="shared" si="8"/>
        <v>0</v>
      </c>
      <c r="Q36" s="36">
        <f>'Development Program'!B24</f>
        <v>0</v>
      </c>
      <c r="R36" s="36">
        <f>'Development Program'!C24</f>
        <v>0</v>
      </c>
      <c r="S36" s="36">
        <f>'Development Program'!D24</f>
        <v>0</v>
      </c>
      <c r="T36" s="36">
        <f>'Development Program'!E24</f>
        <v>0</v>
      </c>
      <c r="U36" s="36">
        <f>'Development Program'!F24</f>
        <v>0</v>
      </c>
      <c r="V36" s="42"/>
      <c r="W36" s="260">
        <f t="shared" si="9"/>
        <v>0</v>
      </c>
      <c r="X36" s="36">
        <f>'Administration Program'!B24</f>
        <v>0</v>
      </c>
      <c r="Y36" s="36">
        <f>'Administration Program'!C24</f>
        <v>0</v>
      </c>
      <c r="Z36" s="36">
        <f>'Administration Program'!D24</f>
        <v>0</v>
      </c>
      <c r="AA36" s="40"/>
      <c r="AB36" s="36">
        <f t="shared" si="4"/>
        <v>0</v>
      </c>
      <c r="AC36" s="38">
        <f t="shared" si="5"/>
        <v>0</v>
      </c>
    </row>
    <row r="37" spans="3:29" ht="12.75">
      <c r="C37" s="1" t="str">
        <f>'Chart of Accounts'!$C$14</f>
        <v>Data Proc.</v>
      </c>
      <c r="E37" s="36">
        <f t="shared" si="6"/>
        <v>0</v>
      </c>
      <c r="F37" s="36">
        <f>'Conservation Program'!B25</f>
        <v>0</v>
      </c>
      <c r="G37" s="36">
        <f>'Conservation Program'!C25</f>
        <v>0</v>
      </c>
      <c r="H37" s="36">
        <f>'Conservation Program'!D25</f>
        <v>0</v>
      </c>
      <c r="I37" s="37"/>
      <c r="J37" s="36">
        <f t="shared" si="7"/>
        <v>0</v>
      </c>
      <c r="K37" s="36">
        <f>'Outreach Program'!B25</f>
        <v>0</v>
      </c>
      <c r="L37" s="36">
        <f>'Outreach Program'!C25</f>
        <v>0</v>
      </c>
      <c r="M37" s="36">
        <f>'Outreach Program'!D25</f>
        <v>0</v>
      </c>
      <c r="N37" s="36">
        <f>'Outreach Program'!E25</f>
        <v>0</v>
      </c>
      <c r="O37" s="30"/>
      <c r="P37" s="36">
        <f t="shared" si="8"/>
        <v>0</v>
      </c>
      <c r="Q37" s="36">
        <f>'Development Program'!B25</f>
        <v>0</v>
      </c>
      <c r="R37" s="36">
        <f>'Development Program'!C25</f>
        <v>0</v>
      </c>
      <c r="S37" s="36">
        <f>'Development Program'!D25</f>
        <v>0</v>
      </c>
      <c r="T37" s="36">
        <f>'Development Program'!E25</f>
        <v>0</v>
      </c>
      <c r="U37" s="36">
        <f>'Development Program'!F25</f>
        <v>0</v>
      </c>
      <c r="V37" s="42"/>
      <c r="W37" s="43">
        <f t="shared" si="9"/>
        <v>0</v>
      </c>
      <c r="X37" s="36">
        <f>'Administration Program'!B25</f>
        <v>0</v>
      </c>
      <c r="Y37" s="36">
        <f>'Administration Program'!C25</f>
        <v>0</v>
      </c>
      <c r="Z37" s="36">
        <f>'Administration Program'!D25</f>
        <v>0</v>
      </c>
      <c r="AA37" s="40"/>
      <c r="AB37" s="36">
        <f t="shared" si="4"/>
        <v>0</v>
      </c>
      <c r="AC37" s="38">
        <f t="shared" si="5"/>
        <v>0</v>
      </c>
    </row>
    <row r="38" spans="3:29" ht="12.75">
      <c r="C38" s="1" t="str">
        <f>'Chart of Accounts'!$C$15</f>
        <v>Acq. Services</v>
      </c>
      <c r="E38" s="36">
        <f t="shared" si="6"/>
        <v>0</v>
      </c>
      <c r="F38" s="36">
        <f>'Conservation Program'!B26</f>
        <v>0</v>
      </c>
      <c r="G38" s="36">
        <f>'Conservation Program'!C26</f>
        <v>0</v>
      </c>
      <c r="H38" s="36">
        <f>'Conservation Program'!D26</f>
        <v>0</v>
      </c>
      <c r="I38" s="37"/>
      <c r="J38" s="36">
        <f t="shared" si="7"/>
        <v>0</v>
      </c>
      <c r="K38" s="36">
        <f>'Outreach Program'!B26</f>
        <v>0</v>
      </c>
      <c r="L38" s="36">
        <f>'Outreach Program'!C26</f>
        <v>0</v>
      </c>
      <c r="M38" s="36">
        <f>'Outreach Program'!D26</f>
        <v>0</v>
      </c>
      <c r="N38" s="36">
        <f>'Outreach Program'!E26</f>
        <v>0</v>
      </c>
      <c r="O38" s="30"/>
      <c r="P38" s="36">
        <f t="shared" si="8"/>
        <v>0</v>
      </c>
      <c r="Q38" s="36">
        <f>'Development Program'!B26</f>
        <v>0</v>
      </c>
      <c r="R38" s="36">
        <f>'Development Program'!C26</f>
        <v>0</v>
      </c>
      <c r="S38" s="36">
        <f>'Development Program'!D26</f>
        <v>0</v>
      </c>
      <c r="T38" s="36">
        <f>'Development Program'!E26</f>
        <v>0</v>
      </c>
      <c r="U38" s="36">
        <f>'Development Program'!F26</f>
        <v>0</v>
      </c>
      <c r="V38" s="42"/>
      <c r="W38" s="43">
        <f t="shared" si="9"/>
        <v>0</v>
      </c>
      <c r="X38" s="36">
        <f>'Administration Program'!B26</f>
        <v>0</v>
      </c>
      <c r="Y38" s="36">
        <f>'Administration Program'!C26</f>
        <v>0</v>
      </c>
      <c r="Z38" s="36">
        <f>'Administration Program'!D26</f>
        <v>0</v>
      </c>
      <c r="AA38" s="40"/>
      <c r="AB38" s="36">
        <f t="shared" si="4"/>
        <v>0</v>
      </c>
      <c r="AC38" s="38">
        <f t="shared" si="5"/>
        <v>0</v>
      </c>
    </row>
    <row r="39" spans="3:29" ht="12.75">
      <c r="C39" s="1" t="str">
        <f>'Chart of Accounts'!$C$16</f>
        <v>Other PS</v>
      </c>
      <c r="E39" s="36">
        <f t="shared" si="6"/>
        <v>600</v>
      </c>
      <c r="F39" s="36">
        <f>'Conservation Program'!B27</f>
        <v>0</v>
      </c>
      <c r="G39" s="36">
        <f>'Conservation Program'!C27</f>
        <v>600</v>
      </c>
      <c r="H39" s="36">
        <f>'Conservation Program'!D27</f>
        <v>0</v>
      </c>
      <c r="I39" s="37"/>
      <c r="J39" s="36">
        <f t="shared" si="7"/>
        <v>0</v>
      </c>
      <c r="K39" s="36">
        <f>'Outreach Program'!B27</f>
        <v>0</v>
      </c>
      <c r="L39" s="36">
        <f>'Outreach Program'!C27</f>
        <v>0</v>
      </c>
      <c r="M39" s="36">
        <f>'Outreach Program'!D27</f>
        <v>0</v>
      </c>
      <c r="N39" s="36">
        <f>'Outreach Program'!E27</f>
        <v>0</v>
      </c>
      <c r="O39" s="30"/>
      <c r="P39" s="36">
        <f t="shared" si="8"/>
        <v>8800</v>
      </c>
      <c r="Q39" s="36">
        <f>'Development Program'!B27</f>
        <v>2000</v>
      </c>
      <c r="R39" s="36">
        <f>'Development Program'!C27</f>
        <v>6800</v>
      </c>
      <c r="S39" s="36">
        <f>'Development Program'!D27</f>
        <v>0</v>
      </c>
      <c r="T39" s="36">
        <f>'Development Program'!E27</f>
        <v>0</v>
      </c>
      <c r="U39" s="36">
        <f>'Development Program'!F27</f>
        <v>0</v>
      </c>
      <c r="V39" s="42"/>
      <c r="W39" s="36">
        <f t="shared" si="9"/>
        <v>1500</v>
      </c>
      <c r="X39" s="36">
        <f>'Administration Program'!B27</f>
        <v>0</v>
      </c>
      <c r="Y39" s="36">
        <f>'Administration Program'!C27</f>
        <v>1500</v>
      </c>
      <c r="Z39" s="36">
        <f>'Administration Program'!D27</f>
        <v>0</v>
      </c>
      <c r="AA39" s="40"/>
      <c r="AB39" s="36">
        <f t="shared" si="4"/>
        <v>10900</v>
      </c>
      <c r="AC39" s="38">
        <f t="shared" si="5"/>
        <v>0.02843361720126367</v>
      </c>
    </row>
    <row r="40" spans="5:29" ht="12.75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0"/>
      <c r="P40" s="37"/>
      <c r="Q40" s="37"/>
      <c r="R40" s="37"/>
      <c r="S40" s="37"/>
      <c r="T40" s="37"/>
      <c r="U40" s="49"/>
      <c r="V40" s="50"/>
      <c r="W40" s="49"/>
      <c r="X40" s="37"/>
      <c r="Y40" s="37"/>
      <c r="Z40" s="37"/>
      <c r="AA40" s="40"/>
      <c r="AB40" s="37"/>
      <c r="AC40" s="38"/>
    </row>
    <row r="41" spans="2:29" ht="12.75">
      <c r="B41" s="4" t="str">
        <f>'Chart of Accounts'!$C$18</f>
        <v>Telephone</v>
      </c>
      <c r="C41" s="1"/>
      <c r="E41" s="36">
        <f>SUM(E42:E43)</f>
        <v>847.1680803863493</v>
      </c>
      <c r="F41" s="36">
        <f>SUM(F42:F43)</f>
        <v>253.4177264628833</v>
      </c>
      <c r="G41" s="36">
        <f>SUM(G42:G43)</f>
        <v>274.9269288388708</v>
      </c>
      <c r="H41" s="36">
        <f>SUM(H42:H43)</f>
        <v>318.8234250845952</v>
      </c>
      <c r="I41" s="37"/>
      <c r="J41" s="36">
        <f>SUM(J42:J43)</f>
        <v>905.2141210100632</v>
      </c>
      <c r="K41" s="36">
        <f>SUM(K42:K43)</f>
        <v>248.2050680239644</v>
      </c>
      <c r="L41" s="36">
        <f>SUM(L42:L43)</f>
        <v>296.62297262051266</v>
      </c>
      <c r="M41" s="36">
        <f>SUM(M42:M43)</f>
        <v>223.65049068164274</v>
      </c>
      <c r="N41" s="36">
        <f>SUM(N42:N43)</f>
        <v>136.73558968394332</v>
      </c>
      <c r="O41" s="30"/>
      <c r="P41" s="36">
        <f aca="true" t="shared" si="10" ref="P41:Z41">SUM(P42:P43)</f>
        <v>501.09517674861297</v>
      </c>
      <c r="Q41" s="36">
        <f t="shared" si="10"/>
        <v>100.21903534972259</v>
      </c>
      <c r="R41" s="36">
        <f t="shared" si="10"/>
        <v>100.21903534972259</v>
      </c>
      <c r="S41" s="36">
        <f t="shared" si="10"/>
        <v>100.21903534972259</v>
      </c>
      <c r="T41" s="36">
        <f t="shared" si="10"/>
        <v>100.21903534972259</v>
      </c>
      <c r="U41" s="36">
        <f t="shared" si="10"/>
        <v>100.21903534972259</v>
      </c>
      <c r="V41" s="42"/>
      <c r="W41" s="36">
        <f t="shared" si="10"/>
        <v>146.52262185497472</v>
      </c>
      <c r="X41" s="36">
        <f t="shared" si="10"/>
        <v>66.17019800460112</v>
      </c>
      <c r="Y41" s="36">
        <f t="shared" si="10"/>
        <v>44.66099562861359</v>
      </c>
      <c r="Z41" s="36">
        <f t="shared" si="10"/>
        <v>35.69142822176</v>
      </c>
      <c r="AA41" s="40"/>
      <c r="AB41" s="36">
        <f>SUM(P41+W41+J41+E41)</f>
        <v>2400</v>
      </c>
      <c r="AC41" s="38">
        <f>AB41/$AB$73</f>
        <v>0.006260612961746129</v>
      </c>
    </row>
    <row r="42" spans="3:29" ht="12.75">
      <c r="C42" s="1" t="str">
        <f>'Chart of Accounts'!$C$19</f>
        <v>Long Distance</v>
      </c>
      <c r="E42" s="36">
        <f>SUM(F42:H42)</f>
        <v>635.376060289762</v>
      </c>
      <c r="F42" s="36">
        <f>'Conservation Program'!B30</f>
        <v>190.06329484716247</v>
      </c>
      <c r="G42" s="36">
        <f>'Conservation Program'!C30</f>
        <v>206.1951966291531</v>
      </c>
      <c r="H42" s="36">
        <f>'Conservation Program'!D30</f>
        <v>239.1175688134464</v>
      </c>
      <c r="I42" s="37"/>
      <c r="J42" s="36">
        <f>SUM(K42:N42)</f>
        <v>678.9105907575474</v>
      </c>
      <c r="K42" s="36">
        <f>'Outreach Program'!B30</f>
        <v>186.1538010179733</v>
      </c>
      <c r="L42" s="36">
        <f>'Outreach Program'!C30</f>
        <v>222.4672294653845</v>
      </c>
      <c r="M42" s="36">
        <f>'Outreach Program'!D30</f>
        <v>167.73786801123205</v>
      </c>
      <c r="N42" s="36">
        <f>'Outreach Program'!E30</f>
        <v>102.55169226295749</v>
      </c>
      <c r="O42" s="30"/>
      <c r="P42" s="36">
        <f>SUM(Q42:U42)</f>
        <v>375.8213825614597</v>
      </c>
      <c r="Q42" s="36">
        <f>'Development Program'!B30</f>
        <v>75.16427651229193</v>
      </c>
      <c r="R42" s="36">
        <f>'Development Program'!C30</f>
        <v>75.16427651229193</v>
      </c>
      <c r="S42" s="36">
        <f>'Development Program'!D30</f>
        <v>75.16427651229193</v>
      </c>
      <c r="T42" s="36">
        <f>'Development Program'!E30</f>
        <v>75.16427651229193</v>
      </c>
      <c r="U42" s="36">
        <f>'Development Program'!F30</f>
        <v>75.16427651229193</v>
      </c>
      <c r="V42" s="42"/>
      <c r="W42" s="43">
        <f>SUM(X42:Z42)</f>
        <v>109.89196639123104</v>
      </c>
      <c r="X42" s="36">
        <f>'Administration Program'!B30</f>
        <v>49.62764850345084</v>
      </c>
      <c r="Y42" s="36">
        <f>'Administration Program'!C30</f>
        <v>33.49574672146019</v>
      </c>
      <c r="Z42" s="36">
        <f>'Administration Program'!D30</f>
        <v>26.76857116632</v>
      </c>
      <c r="AA42" s="40">
        <v>2988</v>
      </c>
      <c r="AB42" s="36">
        <f>SUM(P42+W42+J42+E42)</f>
        <v>1800</v>
      </c>
      <c r="AC42" s="38">
        <f>AB42/$AB$73</f>
        <v>0.004695459721309597</v>
      </c>
    </row>
    <row r="43" spans="3:29" ht="12.75">
      <c r="C43" s="1" t="str">
        <f>'Chart of Accounts'!$C$20</f>
        <v>Internet Access</v>
      </c>
      <c r="E43" s="36">
        <f>SUM(F43:H43)</f>
        <v>211.79202009658732</v>
      </c>
      <c r="F43" s="36">
        <f>'Conservation Program'!B31</f>
        <v>63.35443161572083</v>
      </c>
      <c r="G43" s="36">
        <f>'Conservation Program'!C31</f>
        <v>68.7317322097177</v>
      </c>
      <c r="H43" s="36">
        <f>'Conservation Program'!D31</f>
        <v>79.7058562711488</v>
      </c>
      <c r="I43" s="37"/>
      <c r="J43" s="36">
        <f>SUM(K43:N43)</f>
        <v>226.30353025251577</v>
      </c>
      <c r="K43" s="36">
        <f>'Outreach Program'!B31</f>
        <v>62.0512670059911</v>
      </c>
      <c r="L43" s="36">
        <f>'Outreach Program'!C31</f>
        <v>74.15574315512816</v>
      </c>
      <c r="M43" s="36">
        <f>'Outreach Program'!D31</f>
        <v>55.912622670410684</v>
      </c>
      <c r="N43" s="36">
        <f>'Outreach Program'!E31</f>
        <v>34.18389742098582</v>
      </c>
      <c r="O43" s="30"/>
      <c r="P43" s="36">
        <f>SUM(Q43:U43)</f>
        <v>125.27379418715324</v>
      </c>
      <c r="Q43" s="36">
        <f>'Development Program'!B31</f>
        <v>25.054758837430647</v>
      </c>
      <c r="R43" s="36">
        <f>'Development Program'!C31</f>
        <v>25.054758837430647</v>
      </c>
      <c r="S43" s="36">
        <f>'Development Program'!D31</f>
        <v>25.054758837430647</v>
      </c>
      <c r="T43" s="36">
        <f>'Development Program'!E31</f>
        <v>25.054758837430647</v>
      </c>
      <c r="U43" s="36">
        <f>'Development Program'!F31</f>
        <v>25.054758837430647</v>
      </c>
      <c r="V43" s="42"/>
      <c r="W43" s="36">
        <f>SUM(X43:Z43)</f>
        <v>36.63065546374368</v>
      </c>
      <c r="X43" s="36">
        <f>'Administration Program'!B31</f>
        <v>16.54254950115028</v>
      </c>
      <c r="Y43" s="36">
        <f>'Administration Program'!C31</f>
        <v>11.165248907153398</v>
      </c>
      <c r="Z43" s="36">
        <f>'Administration Program'!D31</f>
        <v>8.92285705544</v>
      </c>
      <c r="AA43" s="40">
        <v>204</v>
      </c>
      <c r="AB43" s="36">
        <f>SUM(P43+W43+J43+E43)</f>
        <v>600</v>
      </c>
      <c r="AC43" s="38">
        <f>AB43/$AB$73</f>
        <v>0.0015651532404365323</v>
      </c>
    </row>
    <row r="44" spans="5:29" ht="12.7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0"/>
      <c r="P44" s="37"/>
      <c r="Q44" s="37"/>
      <c r="R44" s="37"/>
      <c r="S44" s="37"/>
      <c r="T44" s="37"/>
      <c r="U44" s="49"/>
      <c r="V44" s="50"/>
      <c r="W44" s="49"/>
      <c r="X44" s="37"/>
      <c r="Y44" s="37"/>
      <c r="Z44" s="37"/>
      <c r="AA44" s="40"/>
      <c r="AB44" s="37"/>
      <c r="AC44" s="38"/>
    </row>
    <row r="45" spans="2:29" ht="12.75">
      <c r="B45" s="4" t="str">
        <f>'Chart of Accounts'!$C$22</f>
        <v>Occupancy</v>
      </c>
      <c r="C45" s="1"/>
      <c r="E45" s="36">
        <f>SUM(E46:E49)</f>
        <v>2223.816211014167</v>
      </c>
      <c r="F45" s="36">
        <f>SUM(F46:F49)</f>
        <v>665.2215319650687</v>
      </c>
      <c r="G45" s="36">
        <f>SUM(G46:G49)</f>
        <v>721.6831882020358</v>
      </c>
      <c r="H45" s="36">
        <f>SUM(H46:H49)</f>
        <v>836.9114908470624</v>
      </c>
      <c r="I45" s="37"/>
      <c r="J45" s="36">
        <f>SUM(J46:J49)</f>
        <v>2626.1870676514154</v>
      </c>
      <c r="K45" s="36">
        <f>SUM(K46:K49)</f>
        <v>651.5383035629065</v>
      </c>
      <c r="L45" s="36">
        <f>SUM(L46:L49)</f>
        <v>1028.6353031288459</v>
      </c>
      <c r="M45" s="36">
        <f>SUM(M46:M49)</f>
        <v>587.0825380393122</v>
      </c>
      <c r="N45" s="36">
        <f>SUM(N46:N49)</f>
        <v>358.9309229203511</v>
      </c>
      <c r="O45" s="30"/>
      <c r="P45" s="36">
        <f aca="true" t="shared" si="11" ref="P45:Z45">SUM(P46:P49)</f>
        <v>1815.3748389651091</v>
      </c>
      <c r="Q45" s="36">
        <f t="shared" si="11"/>
        <v>763.0749677930219</v>
      </c>
      <c r="R45" s="36">
        <f t="shared" si="11"/>
        <v>263.0749677930218</v>
      </c>
      <c r="S45" s="36">
        <f t="shared" si="11"/>
        <v>263.0749677930218</v>
      </c>
      <c r="T45" s="36">
        <f t="shared" si="11"/>
        <v>263.0749677930218</v>
      </c>
      <c r="U45" s="36">
        <f t="shared" si="11"/>
        <v>263.0749677930218</v>
      </c>
      <c r="V45" s="42"/>
      <c r="W45" s="36">
        <f t="shared" si="11"/>
        <v>634.6218823693087</v>
      </c>
      <c r="X45" s="36">
        <f t="shared" si="11"/>
        <v>173.69676976207793</v>
      </c>
      <c r="Y45" s="36">
        <f t="shared" si="11"/>
        <v>117.23511352511068</v>
      </c>
      <c r="Z45" s="36">
        <f t="shared" si="11"/>
        <v>343.68999908212</v>
      </c>
      <c r="AA45" s="40"/>
      <c r="AB45" s="36">
        <f>SUM(P45+W45+J45+E45)</f>
        <v>7300</v>
      </c>
      <c r="AC45" s="38">
        <f>AB45/$AB$73</f>
        <v>0.019042697758644474</v>
      </c>
    </row>
    <row r="46" spans="3:29" ht="12.75">
      <c r="C46" s="1" t="str">
        <f>'Chart of Accounts'!$C$23</f>
        <v>Rent</v>
      </c>
      <c r="E46" s="36">
        <f>SUM(F46:H46)</f>
        <v>1482.5441406761113</v>
      </c>
      <c r="F46" s="36">
        <f>'Conservation Program'!B34</f>
        <v>443.4810213100458</v>
      </c>
      <c r="G46" s="36">
        <f>'Conservation Program'!C34</f>
        <v>481.1221254680239</v>
      </c>
      <c r="H46" s="36">
        <f>'Conservation Program'!D34</f>
        <v>557.9409938980416</v>
      </c>
      <c r="I46" s="37"/>
      <c r="J46" s="36">
        <f>SUM(K46:N46)</f>
        <v>1584.1247117676105</v>
      </c>
      <c r="K46" s="36">
        <f>'Outreach Program'!B34</f>
        <v>434.3588690419377</v>
      </c>
      <c r="L46" s="36">
        <f>'Outreach Program'!C34</f>
        <v>519.0902020858972</v>
      </c>
      <c r="M46" s="36">
        <f>'Outreach Program'!D34</f>
        <v>391.3883586928748</v>
      </c>
      <c r="N46" s="36">
        <f>'Outreach Program'!E34</f>
        <v>239.28728194690075</v>
      </c>
      <c r="O46" s="30"/>
      <c r="P46" s="36">
        <f>SUM(Q46:U46)</f>
        <v>876.9165593100727</v>
      </c>
      <c r="Q46" s="36">
        <f>'Development Program'!B34</f>
        <v>175.38331186201452</v>
      </c>
      <c r="R46" s="36">
        <f>'Development Program'!C34</f>
        <v>175.38331186201452</v>
      </c>
      <c r="S46" s="36">
        <f>'Development Program'!D34</f>
        <v>175.38331186201452</v>
      </c>
      <c r="T46" s="36">
        <f>'Development Program'!E34</f>
        <v>175.38331186201452</v>
      </c>
      <c r="U46" s="36">
        <f>'Development Program'!F34</f>
        <v>175.38331186201452</v>
      </c>
      <c r="V46" s="42"/>
      <c r="W46" s="43">
        <f>SUM(X46:Z46)</f>
        <v>256.41458824620577</v>
      </c>
      <c r="X46" s="36">
        <f>'Administration Program'!B34</f>
        <v>115.79784650805195</v>
      </c>
      <c r="Y46" s="36">
        <f>'Administration Program'!C34</f>
        <v>78.15674235007378</v>
      </c>
      <c r="Z46" s="36">
        <f>'Administration Program'!D34</f>
        <v>62.45999938808001</v>
      </c>
      <c r="AA46" s="40">
        <v>477</v>
      </c>
      <c r="AB46" s="36">
        <f>SUM(P46+W46+J46+E46)</f>
        <v>4200</v>
      </c>
      <c r="AC46" s="38">
        <f>AB46/$AB$73</f>
        <v>0.010956072683055726</v>
      </c>
    </row>
    <row r="47" spans="3:29" ht="12.75">
      <c r="C47" s="1" t="str">
        <f>'Chart of Accounts'!$C$24</f>
        <v>Repair/Maintenance</v>
      </c>
      <c r="E47" s="36">
        <f>SUM(F47:H47)</f>
        <v>317.688030144881</v>
      </c>
      <c r="F47" s="36">
        <f>'Conservation Program'!B35</f>
        <v>95.03164742358123</v>
      </c>
      <c r="G47" s="36">
        <f>'Conservation Program'!C35</f>
        <v>103.09759831457654</v>
      </c>
      <c r="H47" s="36">
        <f>'Conservation Program'!D35</f>
        <v>119.5587844067232</v>
      </c>
      <c r="I47" s="37"/>
      <c r="J47" s="36">
        <f>SUM(K47:N47)</f>
        <v>339.4552953787737</v>
      </c>
      <c r="K47" s="36">
        <f>'Outreach Program'!B35</f>
        <v>93.07690050898665</v>
      </c>
      <c r="L47" s="36">
        <f>'Outreach Program'!C35</f>
        <v>111.23361473269225</v>
      </c>
      <c r="M47" s="36">
        <f>'Outreach Program'!D35</f>
        <v>83.86893400561603</v>
      </c>
      <c r="N47" s="36">
        <f>'Outreach Program'!E35</f>
        <v>51.275846131478744</v>
      </c>
      <c r="O47" s="30"/>
      <c r="P47" s="36">
        <f>SUM(Q47:U47)</f>
        <v>187.91069128072985</v>
      </c>
      <c r="Q47" s="36">
        <f>'Development Program'!B35</f>
        <v>37.58213825614597</v>
      </c>
      <c r="R47" s="36">
        <f>'Development Program'!C35</f>
        <v>37.58213825614597</v>
      </c>
      <c r="S47" s="36">
        <f>'Development Program'!D35</f>
        <v>37.58213825614597</v>
      </c>
      <c r="T47" s="36">
        <f>'Development Program'!E35</f>
        <v>37.58213825614597</v>
      </c>
      <c r="U47" s="36">
        <f>'Development Program'!F35</f>
        <v>37.58213825614597</v>
      </c>
      <c r="V47" s="42"/>
      <c r="W47" s="43">
        <f>SUM(X47:Z47)</f>
        <v>54.94598319561552</v>
      </c>
      <c r="X47" s="36">
        <f>'Administration Program'!B35</f>
        <v>24.81382425172542</v>
      </c>
      <c r="Y47" s="36">
        <f>'Administration Program'!C35</f>
        <v>16.747873360730097</v>
      </c>
      <c r="Z47" s="36">
        <f>'Administration Program'!D35</f>
        <v>13.38428558316</v>
      </c>
      <c r="AA47" s="40">
        <v>653</v>
      </c>
      <c r="AB47" s="36">
        <f>SUM(P47+W47+J47+E47)</f>
        <v>900</v>
      </c>
      <c r="AC47" s="38">
        <f>AB47/$AB$73</f>
        <v>0.0023477298606547985</v>
      </c>
    </row>
    <row r="48" spans="2:30" ht="12.75">
      <c r="B48" s="5"/>
      <c r="C48" s="1" t="str">
        <f>'Chart of Accounts'!$C$25</f>
        <v>Utilities</v>
      </c>
      <c r="D48" s="44"/>
      <c r="E48" s="36">
        <f>SUM(F48:H48)</f>
        <v>423.58404019317464</v>
      </c>
      <c r="F48" s="36">
        <f>'Conservation Program'!B36</f>
        <v>126.70886323144165</v>
      </c>
      <c r="G48" s="36">
        <f>'Conservation Program'!C36</f>
        <v>137.4634644194354</v>
      </c>
      <c r="H48" s="36">
        <f>'Conservation Program'!D36</f>
        <v>159.4117125422976</v>
      </c>
      <c r="I48" s="45"/>
      <c r="J48" s="36">
        <f>SUM(K48:N48)</f>
        <v>452.60706050503154</v>
      </c>
      <c r="K48" s="36">
        <f>'Outreach Program'!B36</f>
        <v>124.1025340119822</v>
      </c>
      <c r="L48" s="36">
        <f>'Outreach Program'!C36</f>
        <v>148.31148631025633</v>
      </c>
      <c r="M48" s="36">
        <f>'Outreach Program'!D36</f>
        <v>111.82524534082137</v>
      </c>
      <c r="N48" s="36">
        <f>'Outreach Program'!E36</f>
        <v>68.36779484197164</v>
      </c>
      <c r="O48" s="46"/>
      <c r="P48" s="36">
        <f>SUM(Q48:U48)</f>
        <v>250.54758837430649</v>
      </c>
      <c r="Q48" s="36">
        <f>'Development Program'!B36</f>
        <v>50.109517674861294</v>
      </c>
      <c r="R48" s="36">
        <f>'Development Program'!C36</f>
        <v>50.109517674861294</v>
      </c>
      <c r="S48" s="36">
        <f>'Development Program'!D36</f>
        <v>50.109517674861294</v>
      </c>
      <c r="T48" s="36">
        <f>'Development Program'!E36</f>
        <v>50.109517674861294</v>
      </c>
      <c r="U48" s="36">
        <f>'Development Program'!F36</f>
        <v>50.109517674861294</v>
      </c>
      <c r="V48" s="47"/>
      <c r="W48" s="43">
        <f>SUM(X48:Z48)</f>
        <v>73.26131092748736</v>
      </c>
      <c r="X48" s="36">
        <f>'Administration Program'!B36</f>
        <v>33.08509900230056</v>
      </c>
      <c r="Y48" s="36">
        <f>'Administration Program'!C36</f>
        <v>22.330497814306796</v>
      </c>
      <c r="Z48" s="36">
        <f>'Administration Program'!D36</f>
        <v>17.84571411088</v>
      </c>
      <c r="AA48" s="48">
        <v>929</v>
      </c>
      <c r="AB48" s="36">
        <f>SUM(P48+W48+J48+E48)</f>
        <v>1200</v>
      </c>
      <c r="AC48" s="38">
        <f>AB48/$AB$73</f>
        <v>0.0031303064808730647</v>
      </c>
      <c r="AD48" s="44"/>
    </row>
    <row r="49" spans="3:29" ht="12.75">
      <c r="C49" s="1" t="str">
        <f>'Chart of Accounts'!$C$26</f>
        <v>Room Rentals</v>
      </c>
      <c r="E49" s="36">
        <f>SUM(F49:H49)</f>
        <v>0</v>
      </c>
      <c r="F49" s="36">
        <f>'Conservation Program'!B37</f>
        <v>0</v>
      </c>
      <c r="G49" s="36">
        <f>'Conservation Program'!C37</f>
        <v>0</v>
      </c>
      <c r="H49" s="36">
        <f>'Conservation Program'!D37</f>
        <v>0</v>
      </c>
      <c r="I49" s="37"/>
      <c r="J49" s="36">
        <f>SUM(K49:N49)</f>
        <v>250</v>
      </c>
      <c r="K49" s="36">
        <f>'Outreach Program'!B37</f>
        <v>0</v>
      </c>
      <c r="L49" s="36">
        <f>'Outreach Program'!C37</f>
        <v>250</v>
      </c>
      <c r="M49" s="36">
        <f>'Outreach Program'!D37</f>
        <v>0</v>
      </c>
      <c r="N49" s="36">
        <f>'Outreach Program'!E37</f>
        <v>0</v>
      </c>
      <c r="O49" s="30"/>
      <c r="P49" s="36">
        <f>SUM(Q49:U49)</f>
        <v>500</v>
      </c>
      <c r="Q49" s="36">
        <f>'Development Program'!B37</f>
        <v>500</v>
      </c>
      <c r="R49" s="36">
        <f>'Development Program'!C37</f>
        <v>0</v>
      </c>
      <c r="S49" s="36">
        <f>'Development Program'!D37</f>
        <v>0</v>
      </c>
      <c r="T49" s="36">
        <f>'Development Program'!E37</f>
        <v>0</v>
      </c>
      <c r="U49" s="36">
        <f>'Development Program'!F37</f>
        <v>0</v>
      </c>
      <c r="V49" s="42"/>
      <c r="W49" s="36">
        <f>SUM(X49:Z49)</f>
        <v>250</v>
      </c>
      <c r="X49" s="36">
        <f>'Administration Program'!B37</f>
        <v>0</v>
      </c>
      <c r="Y49" s="36">
        <f>'Administration Program'!C37</f>
        <v>0</v>
      </c>
      <c r="Z49" s="36">
        <f>'Administration Program'!D37</f>
        <v>250</v>
      </c>
      <c r="AA49" s="40"/>
      <c r="AB49" s="36">
        <f>SUM(P49+W49+J49+E49)</f>
        <v>1000</v>
      </c>
      <c r="AC49" s="38">
        <f>AB49/$AB$73</f>
        <v>0.002608588734060887</v>
      </c>
    </row>
    <row r="50" spans="5:29" ht="12.75">
      <c r="E50" s="37"/>
      <c r="F50" s="49"/>
      <c r="G50" s="49"/>
      <c r="H50" s="49"/>
      <c r="I50" s="37"/>
      <c r="J50" s="37"/>
      <c r="K50" s="49"/>
      <c r="L50" s="49"/>
      <c r="M50" s="37"/>
      <c r="N50" s="37"/>
      <c r="O50" s="30"/>
      <c r="P50" s="37"/>
      <c r="Q50" s="37"/>
      <c r="R50" s="37"/>
      <c r="S50" s="37"/>
      <c r="T50" s="37"/>
      <c r="U50" s="49"/>
      <c r="V50" s="50"/>
      <c r="W50" s="49"/>
      <c r="X50" s="37"/>
      <c r="Y50" s="37"/>
      <c r="Z50" s="37"/>
      <c r="AA50" s="40"/>
      <c r="AB50" s="37"/>
      <c r="AC50" s="38"/>
    </row>
    <row r="51" spans="2:29" ht="12.75">
      <c r="B51" s="4" t="str">
        <f>'Chart of Accounts'!$D$3</f>
        <v>Equipment</v>
      </c>
      <c r="E51" s="36">
        <f>SUM(F51:H51)</f>
        <v>1419.006534647135</v>
      </c>
      <c r="F51" s="36">
        <f>SUM(F52:F54)</f>
        <v>424.4746918253295</v>
      </c>
      <c r="G51" s="36">
        <f>SUM(G52:G54)</f>
        <v>460.50260580510854</v>
      </c>
      <c r="H51" s="36">
        <f>SUM(H52:H54)</f>
        <v>534.0292370166969</v>
      </c>
      <c r="I51" s="37"/>
      <c r="J51" s="36">
        <f>SUM(K51:N51)</f>
        <v>1516.2336526918557</v>
      </c>
      <c r="K51" s="36">
        <f>SUM(K52:K54)</f>
        <v>415.7434889401404</v>
      </c>
      <c r="L51" s="36">
        <f>SUM(L52:L54)</f>
        <v>496.8434791393587</v>
      </c>
      <c r="M51" s="36">
        <f>SUM(M52:M54)</f>
        <v>374.61457189175155</v>
      </c>
      <c r="N51" s="36">
        <f>SUM(N52:N54)</f>
        <v>229.03211272060506</v>
      </c>
      <c r="O51" s="30"/>
      <c r="P51" s="36">
        <f>SUM(Q51:U51)</f>
        <v>839.3344210539266</v>
      </c>
      <c r="Q51" s="36">
        <f>SUM(Q52:Q54)</f>
        <v>167.86688421078532</v>
      </c>
      <c r="R51" s="36">
        <f>SUM(R52:R54)</f>
        <v>167.86688421078532</v>
      </c>
      <c r="S51" s="36">
        <f>SUM(S52:S54)</f>
        <v>167.86688421078532</v>
      </c>
      <c r="T51" s="36">
        <f>SUM(T52:T54)</f>
        <v>167.86688421078532</v>
      </c>
      <c r="U51" s="36">
        <f>SUM(U52:U54)</f>
        <v>167.86688421078532</v>
      </c>
      <c r="V51" s="42"/>
      <c r="W51" s="36">
        <f>SUM(X51:Z51)</f>
        <v>245.42539160708264</v>
      </c>
      <c r="X51" s="36">
        <f>SUM(X52:X54)</f>
        <v>110.83508165770688</v>
      </c>
      <c r="Y51" s="36">
        <f>SUM(Y52:Y54)</f>
        <v>74.80716767792777</v>
      </c>
      <c r="Z51" s="36">
        <f>SUM(Z52:Z54)</f>
        <v>59.783142271448</v>
      </c>
      <c r="AA51" s="40">
        <v>713</v>
      </c>
      <c r="AB51" s="36">
        <f>SUM(P51+W51+J51+E51)</f>
        <v>4020</v>
      </c>
      <c r="AC51" s="38">
        <f>AB51/$AB$73</f>
        <v>0.010486526710924766</v>
      </c>
    </row>
    <row r="52" spans="3:29" ht="12.75">
      <c r="C52" s="2" t="str">
        <f>'Chart of Accounts'!$D$4</f>
        <v>Equipment Purchase</v>
      </c>
      <c r="E52" s="36">
        <f>SUM(F52:H52)</f>
        <v>635.376060289762</v>
      </c>
      <c r="F52" s="36">
        <f>'Conservation Program'!B40</f>
        <v>190.06329484716247</v>
      </c>
      <c r="G52" s="36">
        <f>'Conservation Program'!C40</f>
        <v>206.1951966291531</v>
      </c>
      <c r="H52" s="36">
        <f>'Conservation Program'!D40</f>
        <v>239.1175688134464</v>
      </c>
      <c r="I52" s="37"/>
      <c r="J52" s="36">
        <f>SUM(K52:N52)</f>
        <v>678.9105907575474</v>
      </c>
      <c r="K52" s="36">
        <f>'Outreach Program'!B40</f>
        <v>186.1538010179733</v>
      </c>
      <c r="L52" s="36">
        <f>'Outreach Program'!C40</f>
        <v>222.4672294653845</v>
      </c>
      <c r="M52" s="36">
        <f>'Outreach Program'!D40</f>
        <v>167.73786801123205</v>
      </c>
      <c r="N52" s="36">
        <f>'Outreach Program'!E40</f>
        <v>102.55169226295749</v>
      </c>
      <c r="O52" s="30"/>
      <c r="P52" s="36">
        <f>SUM(Q52:U52)</f>
        <v>375.8213825614597</v>
      </c>
      <c r="Q52" s="36">
        <f>'Development Program'!B40</f>
        <v>75.16427651229193</v>
      </c>
      <c r="R52" s="36">
        <f>'Development Program'!C40</f>
        <v>75.16427651229193</v>
      </c>
      <c r="S52" s="36">
        <f>'Development Program'!D40</f>
        <v>75.16427651229193</v>
      </c>
      <c r="T52" s="36">
        <f>'Development Program'!E40</f>
        <v>75.16427651229193</v>
      </c>
      <c r="U52" s="36">
        <f>'Development Program'!F40</f>
        <v>75.16427651229193</v>
      </c>
      <c r="V52" s="42"/>
      <c r="W52" s="36">
        <f>SUM(X52:Z52)</f>
        <v>109.89196639123104</v>
      </c>
      <c r="X52" s="36">
        <f>'Administration Program'!B40</f>
        <v>49.62764850345084</v>
      </c>
      <c r="Y52" s="36">
        <f>'Administration Program'!C40</f>
        <v>33.49574672146019</v>
      </c>
      <c r="Z52" s="36">
        <f>'Administration Program'!D40</f>
        <v>26.76857116632</v>
      </c>
      <c r="AA52" s="40"/>
      <c r="AB52" s="36">
        <f>SUM(P52+W52+J52+E52)</f>
        <v>1800</v>
      </c>
      <c r="AC52" s="38">
        <f>AB52/$AB$73</f>
        <v>0.004695459721309597</v>
      </c>
    </row>
    <row r="53" spans="3:29" ht="12.75">
      <c r="C53" s="2" t="str">
        <f>'Chart of Accounts'!$D$5</f>
        <v>Equipment Maintenance/Repair</v>
      </c>
      <c r="E53" s="36">
        <f>SUM(F53:H53)</f>
        <v>148.25441406761112</v>
      </c>
      <c r="F53" s="36">
        <f>'Conservation Program'!B41</f>
        <v>44.34810213100458</v>
      </c>
      <c r="G53" s="36">
        <f>'Conservation Program'!C41</f>
        <v>48.11221254680238</v>
      </c>
      <c r="H53" s="36">
        <f>'Conservation Program'!D41</f>
        <v>55.79409938980416</v>
      </c>
      <c r="I53" s="37"/>
      <c r="J53" s="36">
        <f>SUM(K53:N53)</f>
        <v>158.41247117676104</v>
      </c>
      <c r="K53" s="36">
        <f>'Outreach Program'!B41</f>
        <v>43.43588690419377</v>
      </c>
      <c r="L53" s="36">
        <f>'Outreach Program'!C41</f>
        <v>51.909020208589716</v>
      </c>
      <c r="M53" s="36">
        <f>'Outreach Program'!D41</f>
        <v>39.138835869287476</v>
      </c>
      <c r="N53" s="36">
        <f>'Outreach Program'!E41</f>
        <v>23.928728194690077</v>
      </c>
      <c r="O53" s="30"/>
      <c r="P53" s="36">
        <f>SUM(Q53:U53)</f>
        <v>87.69165593100725</v>
      </c>
      <c r="Q53" s="36">
        <f>'Development Program'!B41</f>
        <v>17.53833118620145</v>
      </c>
      <c r="R53" s="36">
        <f>'Development Program'!C41</f>
        <v>17.53833118620145</v>
      </c>
      <c r="S53" s="36">
        <f>'Development Program'!D41</f>
        <v>17.53833118620145</v>
      </c>
      <c r="T53" s="36">
        <f>'Development Program'!E41</f>
        <v>17.53833118620145</v>
      </c>
      <c r="U53" s="36">
        <f>'Development Program'!F41</f>
        <v>17.53833118620145</v>
      </c>
      <c r="V53" s="42"/>
      <c r="W53" s="36">
        <f>SUM(X53:Z53)</f>
        <v>25.64145882462057</v>
      </c>
      <c r="X53" s="36">
        <f>'Administration Program'!B41</f>
        <v>11.579784650805195</v>
      </c>
      <c r="Y53" s="36">
        <f>'Administration Program'!C41</f>
        <v>7.8156742350073785</v>
      </c>
      <c r="Z53" s="36">
        <f>'Administration Program'!D41</f>
        <v>6.245999938808</v>
      </c>
      <c r="AA53" s="40"/>
      <c r="AB53" s="36">
        <f>SUM(P53+W53+J53+E53)</f>
        <v>420</v>
      </c>
      <c r="AC53" s="38">
        <f>AB53/$AB$73</f>
        <v>0.0010956072683055726</v>
      </c>
    </row>
    <row r="54" spans="3:29" ht="12.75">
      <c r="C54" s="2" t="str">
        <f>'Chart of Accounts'!$D$6</f>
        <v>Depreciation</v>
      </c>
      <c r="E54" s="36">
        <f>SUM(F54:H54)</f>
        <v>635.376060289762</v>
      </c>
      <c r="F54" s="36">
        <f>'Conservation Program'!B42</f>
        <v>190.06329484716247</v>
      </c>
      <c r="G54" s="36">
        <f>'Conservation Program'!C42</f>
        <v>206.1951966291531</v>
      </c>
      <c r="H54" s="36">
        <f>'Conservation Program'!D42</f>
        <v>239.1175688134464</v>
      </c>
      <c r="I54" s="37"/>
      <c r="J54" s="36">
        <f>SUM(K54:N54)</f>
        <v>678.9105907575474</v>
      </c>
      <c r="K54" s="36">
        <f>'Outreach Program'!B42</f>
        <v>186.1538010179733</v>
      </c>
      <c r="L54" s="36">
        <f>'Outreach Program'!C42</f>
        <v>222.4672294653845</v>
      </c>
      <c r="M54" s="36">
        <f>'Outreach Program'!D42</f>
        <v>167.73786801123205</v>
      </c>
      <c r="N54" s="36">
        <f>'Outreach Program'!E42</f>
        <v>102.55169226295749</v>
      </c>
      <c r="O54" s="30"/>
      <c r="P54" s="36">
        <f>SUM(Q54:U54)</f>
        <v>375.8213825614597</v>
      </c>
      <c r="Q54" s="36">
        <f>'Development Program'!B42</f>
        <v>75.16427651229193</v>
      </c>
      <c r="R54" s="36">
        <f>'Development Program'!C42</f>
        <v>75.16427651229193</v>
      </c>
      <c r="S54" s="36">
        <f>'Development Program'!D42</f>
        <v>75.16427651229193</v>
      </c>
      <c r="T54" s="36">
        <f>'Development Program'!E42</f>
        <v>75.16427651229193</v>
      </c>
      <c r="U54" s="36">
        <f>'Development Program'!F42</f>
        <v>75.16427651229193</v>
      </c>
      <c r="V54" s="42"/>
      <c r="W54" s="36">
        <f>SUM(X54:Z54)</f>
        <v>109.89196639123104</v>
      </c>
      <c r="X54" s="36">
        <f>'Administration Program'!B42</f>
        <v>49.62764850345084</v>
      </c>
      <c r="Y54" s="36">
        <f>'Administration Program'!C42</f>
        <v>33.49574672146019</v>
      </c>
      <c r="Z54" s="36">
        <f>'Administration Program'!D42</f>
        <v>26.76857116632</v>
      </c>
      <c r="AA54" s="40"/>
      <c r="AB54" s="36">
        <f>SUM(P54+W54+J54+E54)</f>
        <v>1800</v>
      </c>
      <c r="AC54" s="38">
        <f>AB54/$AB$73</f>
        <v>0.004695459721309597</v>
      </c>
    </row>
    <row r="55" spans="5:29" ht="12.75">
      <c r="E55" s="37"/>
      <c r="F55" s="49"/>
      <c r="G55" s="49"/>
      <c r="H55" s="49"/>
      <c r="I55" s="37"/>
      <c r="J55" s="37"/>
      <c r="K55" s="49"/>
      <c r="L55" s="49"/>
      <c r="M55" s="37"/>
      <c r="N55" s="37"/>
      <c r="O55" s="30"/>
      <c r="P55" s="37"/>
      <c r="Q55" s="37"/>
      <c r="R55" s="37"/>
      <c r="S55" s="37"/>
      <c r="T55" s="37"/>
      <c r="U55" s="49"/>
      <c r="V55" s="50"/>
      <c r="W55" s="49"/>
      <c r="X55" s="37"/>
      <c r="Y55" s="37"/>
      <c r="Z55" s="37"/>
      <c r="AA55" s="40"/>
      <c r="AB55" s="37"/>
      <c r="AC55" s="38"/>
    </row>
    <row r="56" spans="2:29" ht="12.75">
      <c r="B56" s="4" t="str">
        <f>'Chart of Accounts'!$D$8</f>
        <v>General  / Misc.</v>
      </c>
      <c r="C56" s="1"/>
      <c r="E56" s="36">
        <f>SUM(E57:E61)</f>
        <v>1788.4401507244047</v>
      </c>
      <c r="F56" s="36">
        <f>SUM(F57:F61)</f>
        <v>675.1582371179062</v>
      </c>
      <c r="G56" s="36">
        <f>SUM(G57:G61)</f>
        <v>515.4879915728827</v>
      </c>
      <c r="H56" s="36">
        <f>SUM(H57:H61)</f>
        <v>597.793922033616</v>
      </c>
      <c r="I56" s="37"/>
      <c r="J56" s="36">
        <f>SUM(J57:J61)</f>
        <v>2647.2764768938687</v>
      </c>
      <c r="K56" s="36">
        <f>SUM(K57:K61)</f>
        <v>1065.3845025449332</v>
      </c>
      <c r="L56" s="36">
        <f>SUM(L57:L61)</f>
        <v>556.1680736634612</v>
      </c>
      <c r="M56" s="36">
        <f>SUM(M57:M61)</f>
        <v>419.34467002808015</v>
      </c>
      <c r="N56" s="36">
        <f>SUM(N57:N61)</f>
        <v>606.3792306573937</v>
      </c>
      <c r="O56" s="30"/>
      <c r="P56" s="36">
        <f aca="true" t="shared" si="12" ref="P56:Z56">SUM(P57:P61)</f>
        <v>1889.5534564036493</v>
      </c>
      <c r="Q56" s="36">
        <f t="shared" si="12"/>
        <v>1137.91069128073</v>
      </c>
      <c r="R56" s="36">
        <f t="shared" si="12"/>
        <v>187.91069128072985</v>
      </c>
      <c r="S56" s="36">
        <f t="shared" si="12"/>
        <v>187.91069128072985</v>
      </c>
      <c r="T56" s="36">
        <f t="shared" si="12"/>
        <v>187.91069128072985</v>
      </c>
      <c r="U56" s="36">
        <f t="shared" si="12"/>
        <v>187.91069128072985</v>
      </c>
      <c r="V56" s="42"/>
      <c r="W56" s="36">
        <f t="shared" si="12"/>
        <v>974.7299159780777</v>
      </c>
      <c r="X56" s="36">
        <f t="shared" si="12"/>
        <v>124.06912125862709</v>
      </c>
      <c r="Y56" s="36">
        <f t="shared" si="12"/>
        <v>283.7393668036505</v>
      </c>
      <c r="Z56" s="36">
        <f t="shared" si="12"/>
        <v>566.9214279158</v>
      </c>
      <c r="AA56" s="40"/>
      <c r="AB56" s="36">
        <f aca="true" t="shared" si="13" ref="AB56:AB61">SUM(P56+W56+J56+E56)</f>
        <v>7300.000000000001</v>
      </c>
      <c r="AC56" s="38">
        <f aca="true" t="shared" si="14" ref="AC56:AC61">AB56/$AB$73</f>
        <v>0.019042697758644478</v>
      </c>
    </row>
    <row r="57" spans="3:29" ht="12.75">
      <c r="C57" s="1" t="str">
        <f>'Chart of Accounts'!$D$9</f>
        <v>Supplies </v>
      </c>
      <c r="E57" s="36">
        <f>SUM(F57:H57)</f>
        <v>317.688030144881</v>
      </c>
      <c r="F57" s="36">
        <f>'Conservation Program'!B45</f>
        <v>95.03164742358123</v>
      </c>
      <c r="G57" s="36">
        <f>'Conservation Program'!C45</f>
        <v>103.09759831457654</v>
      </c>
      <c r="H57" s="36">
        <f>'Conservation Program'!D45</f>
        <v>119.5587844067232</v>
      </c>
      <c r="I57" s="37"/>
      <c r="J57" s="36">
        <f>SUM(K57:N57)</f>
        <v>339.4552953787737</v>
      </c>
      <c r="K57" s="36">
        <f>'Outreach Program'!B45</f>
        <v>93.07690050898665</v>
      </c>
      <c r="L57" s="36">
        <f>'Outreach Program'!C45</f>
        <v>111.23361473269225</v>
      </c>
      <c r="M57" s="36">
        <f>'Outreach Program'!D45</f>
        <v>83.86893400561603</v>
      </c>
      <c r="N57" s="36">
        <f>'Outreach Program'!E45</f>
        <v>51.275846131478744</v>
      </c>
      <c r="O57" s="30"/>
      <c r="P57" s="36">
        <f>SUM(Q57:U57)</f>
        <v>437.9106912807299</v>
      </c>
      <c r="Q57" s="36">
        <f>'Development Program'!B45</f>
        <v>287.582138256146</v>
      </c>
      <c r="R57" s="36">
        <f>'Development Program'!C45</f>
        <v>37.58213825614597</v>
      </c>
      <c r="S57" s="36">
        <f>'Development Program'!D45</f>
        <v>37.58213825614597</v>
      </c>
      <c r="T57" s="36">
        <f>'Development Program'!E45</f>
        <v>37.58213825614597</v>
      </c>
      <c r="U57" s="36">
        <f>'Development Program'!F45</f>
        <v>37.58213825614597</v>
      </c>
      <c r="V57" s="42"/>
      <c r="W57" s="43">
        <f>SUM(X57:Z57)</f>
        <v>354.94598319561555</v>
      </c>
      <c r="X57" s="36">
        <f>'Administration Program'!B45</f>
        <v>24.81382425172542</v>
      </c>
      <c r="Y57" s="36">
        <f>'Administration Program'!C45</f>
        <v>16.747873360730097</v>
      </c>
      <c r="Z57" s="36">
        <f>'Administration Program'!D45</f>
        <v>313.38428558316</v>
      </c>
      <c r="AA57" s="40">
        <v>346</v>
      </c>
      <c r="AB57" s="36">
        <f t="shared" si="13"/>
        <v>1450</v>
      </c>
      <c r="AC57" s="38">
        <f t="shared" si="14"/>
        <v>0.0037824536643882864</v>
      </c>
    </row>
    <row r="58" spans="3:29" ht="12.75">
      <c r="C58" s="1" t="str">
        <f>'Chart of Accounts'!$D$10</f>
        <v>Insurance</v>
      </c>
      <c r="E58" s="36">
        <f>SUM(F58:H58)</f>
        <v>1058.9601004829365</v>
      </c>
      <c r="F58" s="36">
        <f>'Conservation Program'!B46</f>
        <v>316.7721580786041</v>
      </c>
      <c r="G58" s="36">
        <f>'Conservation Program'!C46</f>
        <v>343.6586610485885</v>
      </c>
      <c r="H58" s="36">
        <f>'Conservation Program'!D46</f>
        <v>398.52928135574393</v>
      </c>
      <c r="I58" s="37"/>
      <c r="J58" s="36">
        <f>SUM(K58:N58)</f>
        <v>1131.517651262579</v>
      </c>
      <c r="K58" s="36">
        <f>'Outreach Program'!B46</f>
        <v>310.2563350299555</v>
      </c>
      <c r="L58" s="36">
        <f>'Outreach Program'!C46</f>
        <v>370.7787157756409</v>
      </c>
      <c r="M58" s="36">
        <f>'Outreach Program'!D46</f>
        <v>279.56311335205345</v>
      </c>
      <c r="N58" s="36">
        <f>'Outreach Program'!E46</f>
        <v>170.91948710492912</v>
      </c>
      <c r="O58" s="30"/>
      <c r="P58" s="36">
        <f>SUM(Q58:U58)</f>
        <v>626.3689709357661</v>
      </c>
      <c r="Q58" s="36">
        <f>'Development Program'!B46</f>
        <v>125.27379418715321</v>
      </c>
      <c r="R58" s="36">
        <f>'Development Program'!C46</f>
        <v>125.27379418715321</v>
      </c>
      <c r="S58" s="36">
        <f>'Development Program'!D46</f>
        <v>125.27379418715321</v>
      </c>
      <c r="T58" s="36">
        <f>'Development Program'!E46</f>
        <v>125.27379418715321</v>
      </c>
      <c r="U58" s="36">
        <f>'Development Program'!F46</f>
        <v>125.27379418715321</v>
      </c>
      <c r="V58" s="42"/>
      <c r="W58" s="43">
        <f>SUM(X58:Z58)</f>
        <v>183.15327731871838</v>
      </c>
      <c r="X58" s="36">
        <f>'Administration Program'!B46</f>
        <v>82.7127475057514</v>
      </c>
      <c r="Y58" s="36">
        <f>'Administration Program'!C46</f>
        <v>55.82624453576699</v>
      </c>
      <c r="Z58" s="36">
        <f>'Administration Program'!D46</f>
        <v>44.6142852772</v>
      </c>
      <c r="AA58" s="40"/>
      <c r="AB58" s="36">
        <f t="shared" si="13"/>
        <v>3000</v>
      </c>
      <c r="AC58" s="38">
        <f t="shared" si="14"/>
        <v>0.00782576620218266</v>
      </c>
    </row>
    <row r="59" spans="3:29" ht="12.75">
      <c r="C59" s="1" t="str">
        <f>'Chart of Accounts'!$D$11</f>
        <v>Food</v>
      </c>
      <c r="E59" s="36">
        <f>SUM(F59:H59)</f>
        <v>200</v>
      </c>
      <c r="F59" s="36">
        <f>'Conservation Program'!B47</f>
        <v>200</v>
      </c>
      <c r="G59" s="36">
        <f>'Conservation Program'!C47</f>
        <v>0</v>
      </c>
      <c r="H59" s="36">
        <f>'Conservation Program'!D47</f>
        <v>0</v>
      </c>
      <c r="I59" s="37"/>
      <c r="J59" s="36">
        <f>SUM(K59:N59)</f>
        <v>600</v>
      </c>
      <c r="K59" s="36">
        <f>'Outreach Program'!B47</f>
        <v>600</v>
      </c>
      <c r="L59" s="36">
        <f>'Outreach Program'!C47</f>
        <v>0</v>
      </c>
      <c r="M59" s="36">
        <f>'Outreach Program'!D47</f>
        <v>0</v>
      </c>
      <c r="N59" s="36">
        <f>'Outreach Program'!E47</f>
        <v>0</v>
      </c>
      <c r="O59" s="30"/>
      <c r="P59" s="36">
        <f>SUM(Q59:U59)</f>
        <v>700</v>
      </c>
      <c r="Q59" s="36">
        <f>'Development Program'!B47</f>
        <v>700</v>
      </c>
      <c r="R59" s="36">
        <f>'Development Program'!C47</f>
        <v>0</v>
      </c>
      <c r="S59" s="36">
        <f>'Development Program'!D47</f>
        <v>0</v>
      </c>
      <c r="T59" s="36">
        <f>'Development Program'!E47</f>
        <v>0</v>
      </c>
      <c r="U59" s="36">
        <f>'Development Program'!F47</f>
        <v>0</v>
      </c>
      <c r="V59" s="42"/>
      <c r="W59" s="43">
        <f>SUM(X59:Z59)</f>
        <v>400</v>
      </c>
      <c r="X59" s="36">
        <f>'Administration Program'!B47</f>
        <v>0</v>
      </c>
      <c r="Y59" s="36">
        <f>'Administration Program'!C47</f>
        <v>200</v>
      </c>
      <c r="Z59" s="36">
        <f>'Administration Program'!D47</f>
        <v>200</v>
      </c>
      <c r="AA59" s="40"/>
      <c r="AB59" s="36">
        <f t="shared" si="13"/>
        <v>1900</v>
      </c>
      <c r="AC59" s="38">
        <f t="shared" si="14"/>
        <v>0.004956318594715686</v>
      </c>
    </row>
    <row r="60" spans="3:29" ht="12.75">
      <c r="C60" s="1" t="str">
        <f>'Chart of Accounts'!$D$12</f>
        <v>Misc. Exp.</v>
      </c>
      <c r="E60" s="36">
        <f>SUM(F60:H60)</f>
        <v>211.79202009658732</v>
      </c>
      <c r="F60" s="36">
        <f>'Conservation Program'!B48</f>
        <v>63.35443161572083</v>
      </c>
      <c r="G60" s="36">
        <f>'Conservation Program'!C48</f>
        <v>68.7317322097177</v>
      </c>
      <c r="H60" s="36">
        <f>'Conservation Program'!D48</f>
        <v>79.7058562711488</v>
      </c>
      <c r="I60" s="37"/>
      <c r="J60" s="36">
        <f>SUM(K60:N60)</f>
        <v>226.30353025251577</v>
      </c>
      <c r="K60" s="36">
        <f>'Outreach Program'!B48</f>
        <v>62.0512670059911</v>
      </c>
      <c r="L60" s="36">
        <f>'Outreach Program'!C48</f>
        <v>74.15574315512816</v>
      </c>
      <c r="M60" s="36">
        <f>'Outreach Program'!D48</f>
        <v>55.912622670410684</v>
      </c>
      <c r="N60" s="36">
        <f>'Outreach Program'!E48</f>
        <v>34.18389742098582</v>
      </c>
      <c r="O60" s="30"/>
      <c r="P60" s="36">
        <f>SUM(Q60:U60)</f>
        <v>125.27379418715324</v>
      </c>
      <c r="Q60" s="36">
        <f>'Development Program'!B48</f>
        <v>25.054758837430647</v>
      </c>
      <c r="R60" s="36">
        <f>'Development Program'!C48</f>
        <v>25.054758837430647</v>
      </c>
      <c r="S60" s="36">
        <f>'Development Program'!D48</f>
        <v>25.054758837430647</v>
      </c>
      <c r="T60" s="36">
        <f>'Development Program'!E48</f>
        <v>25.054758837430647</v>
      </c>
      <c r="U60" s="36">
        <f>'Development Program'!F48</f>
        <v>25.054758837430647</v>
      </c>
      <c r="V60" s="42"/>
      <c r="W60" s="43">
        <f>SUM(X60:Z60)</f>
        <v>36.63065546374368</v>
      </c>
      <c r="X60" s="36">
        <f>'Administration Program'!B48</f>
        <v>16.54254950115028</v>
      </c>
      <c r="Y60" s="36">
        <f>'Administration Program'!C48</f>
        <v>11.165248907153398</v>
      </c>
      <c r="Z60" s="36">
        <f>'Administration Program'!D48</f>
        <v>8.92285705544</v>
      </c>
      <c r="AA60" s="40">
        <v>434</v>
      </c>
      <c r="AB60" s="36">
        <f t="shared" si="13"/>
        <v>600</v>
      </c>
      <c r="AC60" s="38">
        <f t="shared" si="14"/>
        <v>0.0015651532404365323</v>
      </c>
    </row>
    <row r="61" spans="3:29" ht="12.75">
      <c r="C61" s="1" t="str">
        <f>'Chart of Accounts'!$D$13</f>
        <v>Fees</v>
      </c>
      <c r="E61" s="36">
        <f>SUM(F61:H61)</f>
        <v>0</v>
      </c>
      <c r="F61" s="36">
        <f>'Conservation Program'!B49</f>
        <v>0</v>
      </c>
      <c r="G61" s="36">
        <f>'Conservation Program'!C49</f>
        <v>0</v>
      </c>
      <c r="H61" s="36">
        <f>'Conservation Program'!D49</f>
        <v>0</v>
      </c>
      <c r="I61" s="37"/>
      <c r="J61" s="36">
        <f>SUM(K61:N61)</f>
        <v>350</v>
      </c>
      <c r="K61" s="36">
        <f>'Outreach Program'!B49</f>
        <v>0</v>
      </c>
      <c r="L61" s="36">
        <f>'Outreach Program'!C49</f>
        <v>0</v>
      </c>
      <c r="M61" s="36">
        <f>'Outreach Program'!D49</f>
        <v>0</v>
      </c>
      <c r="N61" s="36">
        <f>'Outreach Program'!E49</f>
        <v>350</v>
      </c>
      <c r="O61" s="30"/>
      <c r="P61" s="36">
        <f>SUM(Q61:U61)</f>
        <v>0</v>
      </c>
      <c r="Q61" s="36">
        <f>'Development Program'!B49</f>
        <v>0</v>
      </c>
      <c r="R61" s="36">
        <f>'Development Program'!C49</f>
        <v>0</v>
      </c>
      <c r="S61" s="36">
        <f>'Development Program'!D49</f>
        <v>0</v>
      </c>
      <c r="T61" s="36">
        <f>'Development Program'!E49</f>
        <v>0</v>
      </c>
      <c r="U61" s="36">
        <f>'Development Program'!F49</f>
        <v>0</v>
      </c>
      <c r="V61" s="42"/>
      <c r="W61" s="36">
        <f>SUM(X61:Z61)</f>
        <v>0</v>
      </c>
      <c r="X61" s="36">
        <f>'Administration Program'!B49</f>
        <v>0</v>
      </c>
      <c r="Y61" s="36">
        <f>'Administration Program'!C49</f>
        <v>0</v>
      </c>
      <c r="Z61" s="36">
        <f>'Administration Program'!D49</f>
        <v>0</v>
      </c>
      <c r="AA61" s="40">
        <v>1330</v>
      </c>
      <c r="AB61" s="36">
        <f t="shared" si="13"/>
        <v>350</v>
      </c>
      <c r="AC61" s="38">
        <f t="shared" si="14"/>
        <v>0.0009130060569213105</v>
      </c>
    </row>
    <row r="62" spans="2:29" s="3" customFormat="1" ht="12.75">
      <c r="B62" s="6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50"/>
      <c r="W62" s="49"/>
      <c r="X62" s="49"/>
      <c r="Y62" s="49"/>
      <c r="Z62" s="49"/>
      <c r="AA62" s="50"/>
      <c r="AB62" s="49"/>
      <c r="AC62" s="51"/>
    </row>
    <row r="63" spans="2:29" ht="12.75">
      <c r="B63" s="7" t="str">
        <f>'Chart of Accounts'!$D$16</f>
        <v>Postage</v>
      </c>
      <c r="E63" s="36">
        <f>SUM(F63:H63)</f>
        <v>529.4800502414682</v>
      </c>
      <c r="F63" s="52">
        <f>'Conservation Program'!B52</f>
        <v>158.38607903930205</v>
      </c>
      <c r="G63" s="52">
        <f>'Conservation Program'!C52</f>
        <v>171.82933052429425</v>
      </c>
      <c r="H63" s="52">
        <f>'Conservation Program'!D52</f>
        <v>199.26464067787197</v>
      </c>
      <c r="I63" s="37"/>
      <c r="J63" s="36">
        <f>SUM(K63:N63)</f>
        <v>565.7588256312895</v>
      </c>
      <c r="K63" s="52">
        <f>'Outreach Program'!B52</f>
        <v>155.12816751497775</v>
      </c>
      <c r="L63" s="52">
        <f>'Outreach Program'!C52</f>
        <v>185.38935788782044</v>
      </c>
      <c r="M63" s="52">
        <f>'Outreach Program'!D52</f>
        <v>139.78155667602672</v>
      </c>
      <c r="N63" s="52">
        <f>'Outreach Program'!E52</f>
        <v>85.45974355246456</v>
      </c>
      <c r="O63" s="30"/>
      <c r="P63" s="52">
        <f>SUM(Q63:U63)</f>
        <v>7283.184485467882</v>
      </c>
      <c r="Q63" s="36">
        <f>'Development Program'!B52</f>
        <v>2612.6368970935764</v>
      </c>
      <c r="R63" s="36">
        <f>'Development Program'!C52</f>
        <v>4482.636897093576</v>
      </c>
      <c r="S63" s="36">
        <f>'Development Program'!D52</f>
        <v>62.63689709357661</v>
      </c>
      <c r="T63" s="36">
        <f>'Development Program'!E52</f>
        <v>62.63689709357661</v>
      </c>
      <c r="U63" s="36">
        <f>'Development Program'!F52</f>
        <v>62.63689709357661</v>
      </c>
      <c r="V63" s="42"/>
      <c r="W63" s="36">
        <f>SUM(X63:Z63)</f>
        <v>166.5766386593592</v>
      </c>
      <c r="X63" s="36">
        <f>'Administration Program'!B52</f>
        <v>41.3563737528757</v>
      </c>
      <c r="Y63" s="36">
        <f>'Administration Program'!C52</f>
        <v>27.913122267883494</v>
      </c>
      <c r="Z63" s="36">
        <f>'Administration Program'!D52</f>
        <v>97.3071426386</v>
      </c>
      <c r="AA63" s="40">
        <v>403</v>
      </c>
      <c r="AB63" s="36">
        <f>SUM(P63+W63+J63+E63)</f>
        <v>8545</v>
      </c>
      <c r="AC63" s="38">
        <f>AB63/$AB$73</f>
        <v>0.02229039073255028</v>
      </c>
    </row>
    <row r="64" spans="2:29" s="3" customFormat="1" ht="12.75">
      <c r="B64" s="6"/>
      <c r="E64" s="53"/>
      <c r="F64" s="53"/>
      <c r="G64" s="53"/>
      <c r="H64" s="53"/>
      <c r="I64" s="49"/>
      <c r="J64" s="53"/>
      <c r="K64" s="53"/>
      <c r="L64" s="53"/>
      <c r="M64" s="53"/>
      <c r="N64" s="53"/>
      <c r="O64" s="49"/>
      <c r="P64" s="53"/>
      <c r="Q64" s="53"/>
      <c r="R64" s="53"/>
      <c r="S64" s="53"/>
      <c r="T64" s="53"/>
      <c r="U64" s="49"/>
      <c r="V64" s="50"/>
      <c r="W64" s="49"/>
      <c r="X64" s="53"/>
      <c r="Y64" s="53"/>
      <c r="Z64" s="53"/>
      <c r="AA64" s="50"/>
      <c r="AB64" s="53"/>
      <c r="AC64" s="51"/>
    </row>
    <row r="65" spans="2:29" ht="12.75">
      <c r="B65" s="4" t="str">
        <f>'Chart of Accounts'!$D$18</f>
        <v>Travel</v>
      </c>
      <c r="C65" s="1"/>
      <c r="E65" s="36">
        <f>SUM(F65:H65)</f>
        <v>0</v>
      </c>
      <c r="F65" s="54">
        <f>'Conservation Program'!B54</f>
        <v>0</v>
      </c>
      <c r="G65" s="54">
        <f>'Conservation Program'!C54</f>
        <v>0</v>
      </c>
      <c r="H65" s="54">
        <f>'Conservation Program'!D54</f>
        <v>0</v>
      </c>
      <c r="I65" s="37"/>
      <c r="J65" s="54">
        <f>SUM(K65:N65)</f>
        <v>0</v>
      </c>
      <c r="K65" s="54">
        <f>'Outreach Program'!B54</f>
        <v>0</v>
      </c>
      <c r="L65" s="54">
        <f>'Outreach Program'!C54</f>
        <v>0</v>
      </c>
      <c r="M65" s="54">
        <f>'Outreach Program'!D54</f>
        <v>0</v>
      </c>
      <c r="N65" s="54">
        <f>'Outreach Program'!E54</f>
        <v>0</v>
      </c>
      <c r="O65" s="30"/>
      <c r="P65" s="54">
        <f>SUM(Q65:U65)</f>
        <v>0</v>
      </c>
      <c r="Q65" s="54">
        <f>'Development Program'!B54</f>
        <v>0</v>
      </c>
      <c r="R65" s="54">
        <f>'Development Program'!C54</f>
        <v>0</v>
      </c>
      <c r="S65" s="54">
        <f>'Development Program'!D54</f>
        <v>0</v>
      </c>
      <c r="T65" s="54">
        <f>'Development Program'!E54</f>
        <v>0</v>
      </c>
      <c r="U65" s="36">
        <f>'Development Program'!F54</f>
        <v>0</v>
      </c>
      <c r="V65" s="42"/>
      <c r="W65" s="36">
        <f>SUM(X65:Z65)</f>
        <v>0</v>
      </c>
      <c r="X65" s="54">
        <f>'Administration Program'!B54</f>
        <v>0</v>
      </c>
      <c r="Y65" s="54">
        <f>'Administration Program'!C54</f>
        <v>0</v>
      </c>
      <c r="Z65" s="54">
        <f>'Administration Program'!D54</f>
        <v>0</v>
      </c>
      <c r="AA65" s="40"/>
      <c r="AB65" s="36">
        <f>SUM(P65+W65+J65+E65)</f>
        <v>0</v>
      </c>
      <c r="AC65" s="38">
        <f>AB65/$AB$73</f>
        <v>0</v>
      </c>
    </row>
    <row r="66" spans="2:29" s="3" customFormat="1" ht="12.75">
      <c r="B66" s="6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50"/>
      <c r="W66" s="49"/>
      <c r="X66" s="49"/>
      <c r="Y66" s="49"/>
      <c r="Z66" s="49"/>
      <c r="AA66" s="50"/>
      <c r="AB66" s="49"/>
      <c r="AC66" s="51"/>
    </row>
    <row r="67" spans="2:29" s="3" customFormat="1" ht="12.75">
      <c r="B67" s="6" t="str">
        <f>'Chart of Accounts'!$D$20</f>
        <v>Project Expenses</v>
      </c>
      <c r="E67" s="36">
        <f>SUM(E68:E71)</f>
        <v>211.79202009658732</v>
      </c>
      <c r="F67" s="36">
        <f>SUM(F68:F71)</f>
        <v>63.35443161572083</v>
      </c>
      <c r="G67" s="36">
        <f>SUM(G68:G71)</f>
        <v>68.7317322097177</v>
      </c>
      <c r="H67" s="36">
        <f>SUM(H68:H71)</f>
        <v>79.7058562711488</v>
      </c>
      <c r="I67" s="49"/>
      <c r="J67" s="36">
        <f>SUM(J68:J71)</f>
        <v>226.30353025251577</v>
      </c>
      <c r="K67" s="36">
        <f>SUM(K68:K71)</f>
        <v>62.0512670059911</v>
      </c>
      <c r="L67" s="36">
        <f>SUM(L68:L71)</f>
        <v>74.15574315512816</v>
      </c>
      <c r="M67" s="36">
        <f>SUM(M68:M71)</f>
        <v>55.912622670410684</v>
      </c>
      <c r="N67" s="36">
        <f>SUM(N68:N71)</f>
        <v>34.18389742098582</v>
      </c>
      <c r="O67" s="49"/>
      <c r="P67" s="36">
        <f aca="true" t="shared" si="15" ref="P67:Z67">SUM(P68:P71)</f>
        <v>9575.273794187151</v>
      </c>
      <c r="Q67" s="36">
        <f t="shared" si="15"/>
        <v>2675.0547588374307</v>
      </c>
      <c r="R67" s="36">
        <f t="shared" si="15"/>
        <v>6825.05475883743</v>
      </c>
      <c r="S67" s="36">
        <f t="shared" si="15"/>
        <v>25.054758837430647</v>
      </c>
      <c r="T67" s="36">
        <f t="shared" si="15"/>
        <v>25.054758837430647</v>
      </c>
      <c r="U67" s="36">
        <f t="shared" si="15"/>
        <v>25.054758837430647</v>
      </c>
      <c r="V67" s="42"/>
      <c r="W67" s="36">
        <f t="shared" si="15"/>
        <v>136.6306554637437</v>
      </c>
      <c r="X67" s="36">
        <f t="shared" si="15"/>
        <v>16.54254950115028</v>
      </c>
      <c r="Y67" s="36">
        <f t="shared" si="15"/>
        <v>11.165248907153398</v>
      </c>
      <c r="Z67" s="36">
        <f t="shared" si="15"/>
        <v>108.92285705544</v>
      </c>
      <c r="AA67" s="50"/>
      <c r="AB67" s="36">
        <f>SUM(P67+W67+J67+E67)</f>
        <v>10149.999999999996</v>
      </c>
      <c r="AC67" s="51">
        <f>AB67/AB73</f>
        <v>0.026477175650717995</v>
      </c>
    </row>
    <row r="68" spans="3:29" ht="12.75">
      <c r="C68" s="1" t="str">
        <f>'Chart of Accounts'!$D$21</f>
        <v>Printing</v>
      </c>
      <c r="E68" s="36">
        <f>SUM(F68:H68)</f>
        <v>211.79202009658732</v>
      </c>
      <c r="F68" s="36">
        <f>'Conservation Program'!B56</f>
        <v>63.35443161572083</v>
      </c>
      <c r="G68" s="36">
        <f>'Conservation Program'!C56</f>
        <v>68.7317322097177</v>
      </c>
      <c r="H68" s="36">
        <f>'Conservation Program'!D56</f>
        <v>79.7058562711488</v>
      </c>
      <c r="I68" s="37"/>
      <c r="J68" s="36">
        <f>SUM(K68:N68)</f>
        <v>226.30353025251577</v>
      </c>
      <c r="K68" s="36">
        <f>'Outreach Program'!B56</f>
        <v>62.0512670059911</v>
      </c>
      <c r="L68" s="36">
        <f>'Outreach Program'!C56</f>
        <v>74.15574315512816</v>
      </c>
      <c r="M68" s="36">
        <f>'Outreach Program'!D56</f>
        <v>55.912622670410684</v>
      </c>
      <c r="N68" s="36">
        <f>'Outreach Program'!E56</f>
        <v>34.18389742098582</v>
      </c>
      <c r="O68" s="30"/>
      <c r="P68" s="36">
        <f>SUM(Q68:U68)</f>
        <v>9575.273794187151</v>
      </c>
      <c r="Q68" s="36">
        <f>'Development Program'!B56</f>
        <v>2675.0547588374307</v>
      </c>
      <c r="R68" s="36">
        <f>'Development Program'!C56</f>
        <v>6825.05475883743</v>
      </c>
      <c r="S68" s="36">
        <f>'Development Program'!D56</f>
        <v>25.054758837430647</v>
      </c>
      <c r="T68" s="36">
        <f>'Development Program'!E56</f>
        <v>25.054758837430647</v>
      </c>
      <c r="U68" s="36">
        <f>'Development Program'!F56</f>
        <v>25.054758837430647</v>
      </c>
      <c r="V68" s="42"/>
      <c r="W68" s="43">
        <f>SUM(X68:Z68)</f>
        <v>136.6306554637437</v>
      </c>
      <c r="X68" s="36">
        <f>'Administration Program'!B56</f>
        <v>16.54254950115028</v>
      </c>
      <c r="Y68" s="36">
        <f>'Administration Program'!C56</f>
        <v>11.165248907153398</v>
      </c>
      <c r="Z68" s="36">
        <f>'Administration Program'!D56</f>
        <v>108.92285705544</v>
      </c>
      <c r="AA68" s="40"/>
      <c r="AB68" s="36">
        <f>SUM(P68+W68+J68+E68)</f>
        <v>10149.999999999996</v>
      </c>
      <c r="AC68" s="38">
        <f>AB68/$AB$73</f>
        <v>0.026477175650717995</v>
      </c>
    </row>
    <row r="69" spans="3:29" ht="12.75">
      <c r="C69" s="1" t="str">
        <f>'Chart of Accounts'!$D$22</f>
        <v>Media </v>
      </c>
      <c r="E69" s="36">
        <f>SUM(F69:H69)</f>
        <v>0</v>
      </c>
      <c r="F69" s="36">
        <f>'Conservation Program'!B57</f>
        <v>0</v>
      </c>
      <c r="G69" s="36">
        <f>'Conservation Program'!C57</f>
        <v>0</v>
      </c>
      <c r="H69" s="36">
        <f>'Conservation Program'!D57</f>
        <v>0</v>
      </c>
      <c r="I69" s="37"/>
      <c r="J69" s="36">
        <f>SUM(K69:N69)</f>
        <v>0</v>
      </c>
      <c r="K69" s="36">
        <f>'Outreach Program'!B57</f>
        <v>0</v>
      </c>
      <c r="L69" s="36">
        <f>'Outreach Program'!C57</f>
        <v>0</v>
      </c>
      <c r="M69" s="36">
        <f>'Outreach Program'!D57</f>
        <v>0</v>
      </c>
      <c r="N69" s="36">
        <f>'Outreach Program'!E57</f>
        <v>0</v>
      </c>
      <c r="O69" s="30"/>
      <c r="P69" s="36">
        <f>SUM(Q69:U69)</f>
        <v>0</v>
      </c>
      <c r="Q69" s="36">
        <f>'Development Program'!B57</f>
        <v>0</v>
      </c>
      <c r="R69" s="36">
        <f>'Development Program'!C57</f>
        <v>0</v>
      </c>
      <c r="S69" s="36">
        <f>'Development Program'!D57</f>
        <v>0</v>
      </c>
      <c r="T69" s="36">
        <f>'Development Program'!E57</f>
        <v>0</v>
      </c>
      <c r="U69" s="36">
        <f>'Development Program'!F57</f>
        <v>0</v>
      </c>
      <c r="V69" s="42"/>
      <c r="W69" s="43">
        <f>SUM(X69:Z69)</f>
        <v>0</v>
      </c>
      <c r="X69" s="36">
        <f>'Administration Program'!B57</f>
        <v>0</v>
      </c>
      <c r="Y69" s="36">
        <f>'Administration Program'!C57</f>
        <v>0</v>
      </c>
      <c r="Z69" s="36">
        <f>'Administration Program'!D57</f>
        <v>0</v>
      </c>
      <c r="AA69" s="40">
        <v>446</v>
      </c>
      <c r="AB69" s="36">
        <f>SUM(P69+W69+J69+E69)</f>
        <v>0</v>
      </c>
      <c r="AC69" s="38">
        <f>AB69/$AB$73</f>
        <v>0</v>
      </c>
    </row>
    <row r="70" spans="3:29" ht="12.75">
      <c r="C70" s="1" t="str">
        <f>'Chart of Accounts'!$D$23</f>
        <v>Conf./Training</v>
      </c>
      <c r="E70" s="36">
        <f>SUM(F70:H70)</f>
        <v>0</v>
      </c>
      <c r="F70" s="36">
        <f>'Conservation Program'!B58</f>
        <v>0</v>
      </c>
      <c r="G70" s="36">
        <f>'Conservation Program'!C58</f>
        <v>0</v>
      </c>
      <c r="H70" s="36">
        <f>'Conservation Program'!D58</f>
        <v>0</v>
      </c>
      <c r="I70" s="37"/>
      <c r="J70" s="36">
        <f>SUM(K70:N70)</f>
        <v>0</v>
      </c>
      <c r="K70" s="36">
        <f>'Outreach Program'!B58</f>
        <v>0</v>
      </c>
      <c r="L70" s="36">
        <f>'Outreach Program'!C58</f>
        <v>0</v>
      </c>
      <c r="M70" s="36">
        <f>'Outreach Program'!D58</f>
        <v>0</v>
      </c>
      <c r="N70" s="36">
        <f>'Outreach Program'!E58</f>
        <v>0</v>
      </c>
      <c r="O70" s="30"/>
      <c r="P70" s="36">
        <f>SUM(Q70:U70)</f>
        <v>0</v>
      </c>
      <c r="Q70" s="36">
        <f>'Development Program'!B58</f>
        <v>0</v>
      </c>
      <c r="R70" s="36">
        <f>'Development Program'!C58</f>
        <v>0</v>
      </c>
      <c r="S70" s="36">
        <f>'Development Program'!D58</f>
        <v>0</v>
      </c>
      <c r="T70" s="36">
        <f>'Development Program'!E58</f>
        <v>0</v>
      </c>
      <c r="U70" s="36">
        <f>'Development Program'!F58</f>
        <v>0</v>
      </c>
      <c r="V70" s="42"/>
      <c r="W70" s="43">
        <f>SUM(X70:Z70)</f>
        <v>0</v>
      </c>
      <c r="X70" s="36">
        <f>'Administration Program'!B58</f>
        <v>0</v>
      </c>
      <c r="Y70" s="36">
        <f>'Administration Program'!C58</f>
        <v>0</v>
      </c>
      <c r="Z70" s="36">
        <f>'Administration Program'!D58</f>
        <v>0</v>
      </c>
      <c r="AA70" s="40"/>
      <c r="AB70" s="36">
        <f>SUM(P70+W70+J70+E70)</f>
        <v>0</v>
      </c>
      <c r="AC70" s="38">
        <f>AB70/$AB$73</f>
        <v>0</v>
      </c>
    </row>
    <row r="71" spans="3:29" ht="12.75">
      <c r="C71" s="1" t="str">
        <f>'Chart of Accounts'!$D$24</f>
        <v>Property Acq.</v>
      </c>
      <c r="E71" s="36">
        <f>SUM(F71:H71)</f>
        <v>0</v>
      </c>
      <c r="F71" s="36">
        <f>'Conservation Program'!B59</f>
        <v>0</v>
      </c>
      <c r="G71" s="36">
        <f>'Conservation Program'!C59</f>
        <v>0</v>
      </c>
      <c r="H71" s="36">
        <f>'Conservation Program'!D59</f>
        <v>0</v>
      </c>
      <c r="I71" s="37"/>
      <c r="J71" s="36">
        <f>SUM(K71:N71)</f>
        <v>0</v>
      </c>
      <c r="K71" s="36">
        <f>'Outreach Program'!B59</f>
        <v>0</v>
      </c>
      <c r="L71" s="36">
        <f>'Outreach Program'!C59</f>
        <v>0</v>
      </c>
      <c r="M71" s="36">
        <f>'Outreach Program'!D59</f>
        <v>0</v>
      </c>
      <c r="N71" s="36">
        <f>'Outreach Program'!E59</f>
        <v>0</v>
      </c>
      <c r="O71" s="30"/>
      <c r="P71" s="36">
        <f>SUM(Q71:U71)</f>
        <v>0</v>
      </c>
      <c r="Q71" s="36">
        <f>'Development Program'!B59</f>
        <v>0</v>
      </c>
      <c r="R71" s="36">
        <f>'Development Program'!C59</f>
        <v>0</v>
      </c>
      <c r="S71" s="36">
        <f>'Development Program'!D59</f>
        <v>0</v>
      </c>
      <c r="T71" s="36">
        <f>'Development Program'!E59</f>
        <v>0</v>
      </c>
      <c r="U71" s="36">
        <f>'Development Program'!F59</f>
        <v>0</v>
      </c>
      <c r="V71" s="42"/>
      <c r="W71" s="43">
        <f>SUM(X71:Z71)</f>
        <v>0</v>
      </c>
      <c r="X71" s="36">
        <f>'Administration Program'!B59</f>
        <v>0</v>
      </c>
      <c r="Y71" s="36">
        <f>'Administration Program'!C59</f>
        <v>0</v>
      </c>
      <c r="Z71" s="36">
        <f>'Administration Program'!D59</f>
        <v>0</v>
      </c>
      <c r="AA71" s="40"/>
      <c r="AB71" s="36">
        <f>SUM(P71+W71+J71+E71)</f>
        <v>0</v>
      </c>
      <c r="AC71" s="38">
        <f>AB71/$AB$73</f>
        <v>0</v>
      </c>
    </row>
    <row r="72" spans="5:28" ht="12.75">
      <c r="E72" s="31"/>
      <c r="F72" s="31"/>
      <c r="G72" s="31"/>
      <c r="H72" s="31"/>
      <c r="I72" s="31"/>
      <c r="J72" s="31"/>
      <c r="K72" s="31"/>
      <c r="L72" s="31"/>
      <c r="M72" s="31"/>
      <c r="N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B72" s="31"/>
    </row>
    <row r="73" spans="2:30" ht="12.75">
      <c r="B73" s="4" t="s">
        <v>46</v>
      </c>
      <c r="E73" s="36">
        <f>SUM(E26+E33+E41+E45+E51+E56+E63+E65+E67)</f>
        <v>127293.70879711014</v>
      </c>
      <c r="F73" s="36">
        <f>SUM(F26+F33+F41+F45+F51+F56+F63+F65+F67)</f>
        <v>38372.08394802621</v>
      </c>
      <c r="G73" s="36">
        <f>SUM(G26+G33+G41+G45+G51+G56+G63+G65+G67)</f>
        <v>42784.681027152896</v>
      </c>
      <c r="H73" s="36">
        <f>SUM(H26+H33+H41+H45+H51+H56+H63+H65+H67)</f>
        <v>46136.94382193099</v>
      </c>
      <c r="I73" s="49"/>
      <c r="J73" s="36">
        <f>SUM(J26+J33+J41+J45+J51+J56+J63+J65+J67)</f>
        <v>132193.552424131</v>
      </c>
      <c r="K73" s="36">
        <f>SUM(K26+K33+K41+K45+K51+K56+K63+K65+K67)</f>
        <v>36517.760047592914</v>
      </c>
      <c r="L73" s="36">
        <f>SUM(L26+L33+L41+L45+L51+L56+L63+L65+L67)</f>
        <v>43174.31592959512</v>
      </c>
      <c r="M73" s="36">
        <f>SUM(M26+M33+M41+M45+M51+M56+M63+M65+M67)</f>
        <v>32364.466699987217</v>
      </c>
      <c r="N73" s="36">
        <f>SUM(N26+N33+N41+N45+N51+N56+N63+N65+N67)</f>
        <v>20137.009746955737</v>
      </c>
      <c r="O73" s="55"/>
      <c r="P73" s="43">
        <f aca="true" t="shared" si="16" ref="P73:U73">SUM(P26+P33+P41+P45+P51+P56+P63+P65+P67)</f>
        <v>99183.49242282633</v>
      </c>
      <c r="Q73" s="36">
        <f t="shared" si="16"/>
        <v>23152.698484565266</v>
      </c>
      <c r="R73" s="36">
        <f t="shared" si="16"/>
        <v>32522.698484565262</v>
      </c>
      <c r="S73" s="36">
        <f t="shared" si="16"/>
        <v>14502.698484565266</v>
      </c>
      <c r="T73" s="36">
        <f t="shared" si="16"/>
        <v>14502.698484565266</v>
      </c>
      <c r="U73" s="36">
        <f t="shared" si="16"/>
        <v>14502.698484565266</v>
      </c>
      <c r="V73" s="55"/>
      <c r="W73" s="43">
        <f>SUM(W26+W33+W41+W45+W51+W56+W63+W65+W67)</f>
        <v>24678.29135593255</v>
      </c>
      <c r="X73" s="43">
        <f>SUM(X26+X33+X41+X45+X51+X56+X63+X65+X67)</f>
        <v>9575.490593937038</v>
      </c>
      <c r="Y73" s="43">
        <f>SUM(Y26+Y33+Y41+Y45+Y51+Y56+Y63+Y65+Y67)</f>
        <v>8962.893514810341</v>
      </c>
      <c r="Z73" s="43">
        <f>SUM(Z26+Z33+Z41+Z45+Z51+Z56+Z63+Z65+Z67)</f>
        <v>6139.907247185168</v>
      </c>
      <c r="AA73" s="30"/>
      <c r="AB73" s="36">
        <f>SUM(P73+W73+J73+E73)</f>
        <v>383349.045</v>
      </c>
      <c r="AC73" s="56">
        <f>SUM(AC26+AC33+AC41+AC45+AC51++AC56+AC63+AC65+AC67)</f>
        <v>1.0000000000000002</v>
      </c>
      <c r="AD73" s="30">
        <f>SUM(AB26+AB33+AB41+AB45+AB51+AB56+AB63+AB65+AB67)</f>
        <v>383349.04500000004</v>
      </c>
    </row>
    <row r="75" spans="2:31" ht="12.75">
      <c r="B75" s="4" t="s">
        <v>74</v>
      </c>
      <c r="AD75" s="12">
        <f>E17-AD73</f>
        <v>43858.62172160263</v>
      </c>
      <c r="AE75" s="4"/>
    </row>
    <row r="76" ht="12.75">
      <c r="AE76" s="4"/>
    </row>
    <row r="77" spans="21:31" ht="12.75">
      <c r="U77" s="31"/>
      <c r="AE77" s="4"/>
    </row>
    <row r="78" ht="12.75">
      <c r="AE78" s="4"/>
    </row>
    <row r="79" ht="12.75">
      <c r="AE79" s="4"/>
    </row>
    <row r="80" ht="12.75">
      <c r="AE80" s="4"/>
    </row>
    <row r="83" ht="12.75">
      <c r="P83" s="3"/>
    </row>
  </sheetData>
  <sheetProtection sheet="1" objects="1" scenarios="1"/>
  <printOptions horizontalCentered="1"/>
  <pageMargins left="0.25" right="0.25" top="0.5" bottom="0.5" header="0.5" footer="0.5"/>
  <pageSetup firstPageNumber="5" useFirstPageNumber="1" fitToWidth="2" fitToHeight="1" horizontalDpi="300" verticalDpi="300" orientation="landscape" scale="57" r:id="rId1"/>
  <headerFooter alignWithMargins="0">
    <oddHeader>&amp;C&amp;"Verdana,Regular"&amp;16&amp;A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Susan Kerosky CMA, 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 Deluxe Budget</dc:title>
  <dc:subject/>
  <dc:creator>Susan Kerosky</dc:creator>
  <cp:keywords/>
  <dc:description/>
  <cp:lastModifiedBy>Scott Turnoy</cp:lastModifiedBy>
  <cp:lastPrinted>2000-11-21T19:11:10Z</cp:lastPrinted>
  <dcterms:created xsi:type="dcterms:W3CDTF">2000-10-31T19:06:04Z</dcterms:created>
  <dcterms:modified xsi:type="dcterms:W3CDTF">2006-04-10T20:36:56Z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